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us Paulo\Desktop\PREFEITURA DE FARIA LEMOS\PROJETO COBERTURA DE QUADRA\PROJETO LICITAÇÃO QUADRA VILA CAFARNAUM\"/>
    </mc:Choice>
  </mc:AlternateContent>
  <bookViews>
    <workbookView xWindow="0" yWindow="0" windowWidth="7476" windowHeight="2520"/>
  </bookViews>
  <sheets>
    <sheet name="Planilha Orçamentária" sheetId="1" r:id="rId1"/>
    <sheet name="Cronograma" sheetId="2" r:id="rId2"/>
  </sheets>
  <externalReferences>
    <externalReference r:id="rId3"/>
  </externalReferences>
  <definedNames>
    <definedName name="_xlnm.Print_Area" localSheetId="0">'Planilha Orçamentária'!$A$1:$I$42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2" l="1"/>
  <c r="D27" i="2"/>
  <c r="K26" i="2"/>
  <c r="E26" i="2"/>
  <c r="G14" i="2"/>
  <c r="I14" i="2" s="1"/>
  <c r="K14" i="2" s="1"/>
  <c r="M14" i="2" s="1"/>
  <c r="O14" i="2" s="1"/>
  <c r="Q14" i="2" s="1"/>
  <c r="D14" i="2"/>
  <c r="E14" i="2" s="1"/>
  <c r="B14" i="2"/>
  <c r="I13" i="2"/>
  <c r="K13" i="2" s="1"/>
  <c r="M13" i="2" s="1"/>
  <c r="O13" i="2" s="1"/>
  <c r="Q13" i="2" s="1"/>
  <c r="G13" i="2"/>
  <c r="D13" i="2"/>
  <c r="B13" i="2"/>
  <c r="G12" i="2"/>
  <c r="I12" i="2" s="1"/>
  <c r="K12" i="2" s="1"/>
  <c r="M12" i="2" s="1"/>
  <c r="O12" i="2" s="1"/>
  <c r="Q12" i="2" s="1"/>
  <c r="D12" i="2"/>
  <c r="E12" i="2" s="1"/>
  <c r="B12" i="2"/>
  <c r="G11" i="2"/>
  <c r="I11" i="2" s="1"/>
  <c r="K11" i="2" s="1"/>
  <c r="M11" i="2" s="1"/>
  <c r="O11" i="2" s="1"/>
  <c r="Q11" i="2" s="1"/>
  <c r="D11" i="2"/>
  <c r="B11" i="2"/>
  <c r="G10" i="2"/>
  <c r="I10" i="2" s="1"/>
  <c r="K10" i="2" s="1"/>
  <c r="M10" i="2" s="1"/>
  <c r="O10" i="2" s="1"/>
  <c r="Q10" i="2" s="1"/>
  <c r="D10" i="2"/>
  <c r="D18" i="2" s="1"/>
  <c r="B10" i="2"/>
  <c r="F6" i="2"/>
  <c r="L5" i="2"/>
  <c r="B23" i="2" s="1"/>
  <c r="A5" i="2"/>
  <c r="G33" i="1"/>
  <c r="H33" i="1" s="1"/>
  <c r="G32" i="1"/>
  <c r="H32" i="1" s="1"/>
  <c r="G31" i="1"/>
  <c r="H31" i="1" s="1"/>
  <c r="F31" i="1"/>
  <c r="F32" i="1" s="1"/>
  <c r="F33" i="1" s="1"/>
  <c r="G30" i="1"/>
  <c r="H30" i="1" s="1"/>
  <c r="I30" i="1" s="1"/>
  <c r="E30" i="1"/>
  <c r="G29" i="1"/>
  <c r="H29" i="1" s="1"/>
  <c r="F29" i="1"/>
  <c r="E29" i="1"/>
  <c r="E31" i="1" s="1"/>
  <c r="E32" i="1" s="1"/>
  <c r="E33" i="1" s="1"/>
  <c r="G27" i="1"/>
  <c r="H27" i="1" s="1"/>
  <c r="F27" i="1"/>
  <c r="G26" i="1"/>
  <c r="H26" i="1" s="1"/>
  <c r="F26" i="1"/>
  <c r="G25" i="1"/>
  <c r="H25" i="1" s="1"/>
  <c r="G24" i="1"/>
  <c r="H24" i="1" s="1"/>
  <c r="F24" i="1"/>
  <c r="F25" i="1" s="1"/>
  <c r="F22" i="1"/>
  <c r="G21" i="1"/>
  <c r="H21" i="1" s="1"/>
  <c r="F21" i="1"/>
  <c r="G19" i="1"/>
  <c r="G22" i="1" s="1"/>
  <c r="H22" i="1" s="1"/>
  <c r="I22" i="1" s="1"/>
  <c r="F19" i="1"/>
  <c r="G18" i="1"/>
  <c r="H18" i="1" s="1"/>
  <c r="F18" i="1"/>
  <c r="G17" i="1"/>
  <c r="H17" i="1" s="1"/>
  <c r="F17" i="1"/>
  <c r="G16" i="1"/>
  <c r="H16" i="1" s="1"/>
  <c r="F16" i="1"/>
  <c r="G15" i="1"/>
  <c r="H15" i="1" s="1"/>
  <c r="F15" i="1"/>
  <c r="G12" i="1"/>
  <c r="H12" i="1" s="1"/>
  <c r="D19" i="2" l="1"/>
  <c r="D20" i="2" s="1"/>
  <c r="E11" i="2"/>
  <c r="E13" i="2"/>
  <c r="E10" i="2"/>
  <c r="I31" i="1"/>
  <c r="I29" i="1"/>
  <c r="I12" i="1"/>
  <c r="I11" i="1" s="1"/>
  <c r="I24" i="1"/>
  <c r="I21" i="1"/>
  <c r="I18" i="1"/>
  <c r="I15" i="1"/>
  <c r="I27" i="1"/>
  <c r="I26" i="1"/>
  <c r="I17" i="1"/>
  <c r="I16" i="1"/>
  <c r="I33" i="1"/>
  <c r="I25" i="1"/>
  <c r="I20" i="1"/>
  <c r="I32" i="1"/>
  <c r="H19" i="1"/>
  <c r="I19" i="1" s="1"/>
  <c r="H18" i="2" l="1"/>
  <c r="H19" i="2" s="1"/>
  <c r="H20" i="2" s="1"/>
  <c r="F18" i="2"/>
  <c r="N18" i="2"/>
  <c r="N19" i="2" s="1"/>
  <c r="N20" i="2" s="1"/>
  <c r="E18" i="2"/>
  <c r="J18" i="2"/>
  <c r="J19" i="2" s="1"/>
  <c r="J20" i="2" s="1"/>
  <c r="L18" i="2"/>
  <c r="L19" i="2" s="1"/>
  <c r="L20" i="2" s="1"/>
  <c r="P18" i="2"/>
  <c r="P19" i="2" s="1"/>
  <c r="P20" i="2" s="1"/>
  <c r="I23" i="1"/>
  <c r="I13" i="1"/>
  <c r="I28" i="1"/>
  <c r="I35" i="1"/>
  <c r="G18" i="2" l="1"/>
  <c r="I18" i="2" s="1"/>
  <c r="K18" i="2" s="1"/>
  <c r="M18" i="2" s="1"/>
  <c r="O18" i="2" s="1"/>
  <c r="Q18" i="2" s="1"/>
  <c r="F19" i="2"/>
  <c r="G19" i="2" l="1"/>
  <c r="I19" i="2" s="1"/>
  <c r="K19" i="2" s="1"/>
  <c r="M19" i="2" s="1"/>
  <c r="O19" i="2" s="1"/>
  <c r="Q19" i="2" s="1"/>
  <c r="F20" i="2"/>
  <c r="G20" i="2" s="1"/>
  <c r="I20" i="2" s="1"/>
  <c r="K20" i="2" s="1"/>
  <c r="M20" i="2" s="1"/>
  <c r="O20" i="2" s="1"/>
  <c r="Q20" i="2" s="1"/>
</calcChain>
</file>

<file path=xl/comments1.xml><?xml version="1.0" encoding="utf-8"?>
<comments xmlns="http://schemas.openxmlformats.org/spreadsheetml/2006/main">
  <authors>
    <author>Um usuário do Microsoft Office satisfeito</author>
  </authors>
  <commentList>
    <comment ref="B23" authorId="0" shapeId="0">
      <text>
        <r>
          <rPr>
            <sz val="8"/>
            <color indexed="81"/>
            <rFont val="Tahoma"/>
            <family val="2"/>
          </rPr>
          <t>Entre com a Data</t>
        </r>
      </text>
    </comment>
  </commentList>
</comments>
</file>

<file path=xl/sharedStrings.xml><?xml version="1.0" encoding="utf-8"?>
<sst xmlns="http://schemas.openxmlformats.org/spreadsheetml/2006/main" count="130" uniqueCount="105">
  <si>
    <t>PLANILHA ORÇAMENTÁRIA</t>
  </si>
  <si>
    <t>Obra: CONSTRUÇÃO DE COBERTURA METÁLICA QUADRA VILA DO CAFARNAUM</t>
  </si>
  <si>
    <t>Data:</t>
  </si>
  <si>
    <t>Local: Vila do Cafarnaum, zona rural Faria Lemos – MG</t>
  </si>
  <si>
    <t>Composição serviço - Tabela SETOP REG. LESTE E SINAPI - 08/2023 (SEM DESONERAÇÃO) - BDI 2,00%</t>
  </si>
  <si>
    <t>BDI</t>
  </si>
  <si>
    <t>Prazo de Execução: 06 (seis) meses</t>
  </si>
  <si>
    <t>Forma de Execução: Indireta</t>
  </si>
  <si>
    <t>ITEM</t>
  </si>
  <si>
    <t>CODIGO</t>
  </si>
  <si>
    <t>DESCRIÇÃO DOS SERVIÇOS</t>
  </si>
  <si>
    <t>UNID.</t>
  </si>
  <si>
    <t>QUANT.</t>
  </si>
  <si>
    <t>PR. UNIT. (R$)</t>
  </si>
  <si>
    <t>PR. UNIT. C/ BDI (R$)</t>
  </si>
  <si>
    <t>VALOR (R$)</t>
  </si>
  <si>
    <t>CONSTRUÇÃO DE COBERTURA METÁLICA</t>
  </si>
  <si>
    <t xml:space="preserve">SERVIÇOS PRELIMINARES </t>
  </si>
  <si>
    <t>1.1</t>
  </si>
  <si>
    <t>ED-16660</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</si>
  <si>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</si>
  <si>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M²</t>
  </si>
  <si>
    <t xml:space="preserve"> FUNDAÇÃO E ESTRUTURA</t>
  </si>
  <si>
    <t xml:space="preserve">CONCRETO ARMADO PARA FUNDAÇÕES </t>
  </si>
  <si>
    <t>2.1</t>
  </si>
  <si>
    <t>ED-49812</t>
  </si>
  <si>
    <t>LASTRO DE CONCRETO MAGRO, INCLUSIVE TRANSPORTE, LANÇAMENTO E ADENSAMENTO</t>
  </si>
  <si>
    <t>M³</t>
  </si>
  <si>
    <t>2.2</t>
  </si>
  <si>
    <t>ED-8471</t>
  </si>
  <si>
    <t>FÔRMA E DESFORMA DE TÁBUA E SARRAFO, REAPROVEITAMENTO (5X), EXCLUSIVE ESCORAMENTO</t>
  </si>
  <si>
    <t>m²</t>
  </si>
  <si>
    <t>2.3</t>
  </si>
  <si>
    <t>RO-41552</t>
  </si>
  <si>
    <t>ARMAÇÃO:  AÇO CA-60 (EXECUÇÃO, INCLUINDO PREPARO, DOBRAGEM, COLOCAÇÃO NAS FORMAS E TRANSPORTE DE TODOS OS MATERIAIS)</t>
  </si>
  <si>
    <t>kg</t>
  </si>
  <si>
    <t>2.4</t>
  </si>
  <si>
    <t>RO-42285</t>
  </si>
  <si>
    <t>ARMAÇÃO: AÇO CA-50 (EXECUÇÃO, INCLUINDO PREPARO, DOBRAGEM, COLOCAÇÃO NAS FORMAS E TRANSPORTE DE TODOS OS MATERIAIS)</t>
  </si>
  <si>
    <t>2.5</t>
  </si>
  <si>
    <t>CONCRETO FCK = 25MPA, TRAÇO 1:2,3:2,7 (EM MASSA SECA DE CIMENTO/ AREIA MÉDIA/ BRITA 1) - PREPARO MECÂNICO COM BETONEIRA 600 L. AF_05/2021</t>
  </si>
  <si>
    <t>m³</t>
  </si>
  <si>
    <t>SUPERESTRUTURA</t>
  </si>
  <si>
    <t>3.1</t>
  </si>
  <si>
    <t>3.2</t>
  </si>
  <si>
    <t>ESTRUTURA METÁLICA E COBERTURA</t>
  </si>
  <si>
    <t>4.1</t>
  </si>
  <si>
    <t>ED-20573</t>
  </si>
  <si>
    <t>FORNECIMENTO DE ESTRUTURA METÁLICA E ENGRADAMENTO METÁLICO PARA TELHADO EM ARCO DE QUADRA POLIESPORTIVA EM AÇO, COBERTURA EM ARCO PADRÃO DA QUADRA ESCOLAR, EXCLUSIVE TELHA, INCLUSIVE PILAR METÁLICO, FABRICAÇÃO, TRANSPORTE, MONTAGEM, APLICAÇÃO DE FUNDO PREPARADOR ANTICORROSIVO, UMA (1) DEMÃO E PINTURA ESMALTE, DUAS (2) DEMÃOS - tipo aço estrutural ASTM A-36</t>
  </si>
  <si>
    <t>4.2</t>
  </si>
  <si>
    <t>TELHAMENTO COM TELHA DE AÇO/ALUMÍNIO E = 0,5 MM, COM ATÉ 2 ÁGUAS, INCLUSO IÇAMENTO. AF_07/2019</t>
  </si>
  <si>
    <t>4.3</t>
  </si>
  <si>
    <t>ED-50668</t>
  </si>
  <si>
    <t>CONDUTOR CIRCULAR DE ÁGUA PLUVIAL PARA DO TELHADO EM TUBO DE PVC, DIÂMETRO DE 100MM, INCLUSIVE CONEXÕES E SUPORTES</t>
  </si>
  <si>
    <t>m</t>
  </si>
  <si>
    <t>4.4</t>
  </si>
  <si>
    <t>ED-50656</t>
  </si>
  <si>
    <t>CALHA EM CHAPA DE ACO GALVANIZADO NUMERO 26, DESENVOLVIMENTO DE 50CM</t>
  </si>
  <si>
    <t>REVESTIMENTO E PINTURA</t>
  </si>
  <si>
    <t xml:space="preserve">ED-50461 </t>
  </si>
  <si>
    <t>PINTURA ACRÍLICA PARA PISO EM QUADRAS ESPORTIVA, DUAS (2) DEMÃOS</t>
  </si>
  <si>
    <t>ED-50460</t>
  </si>
  <si>
    <t>PINTURA ACRÍLICA PARA PISO EM FAIXA DE DEMARCAÇÃO DE QUADRA, DUAS (2) DEMÃOS, FAIXA COM LARGURA DE 5 CM</t>
  </si>
  <si>
    <t>ED-50727</t>
  </si>
  <si>
    <t>CHAPISCO COM ARGAMASSA, TRAÇO 1:3 (CIMENTO E AREIA), ESP. 5MM, APLICADO EM ALVENARIA/ESTRUTURA DE CONCRETO COM COLHER, INCLUSIVE ARGAMASSA COM PREPARO MECANIZADO</t>
  </si>
  <si>
    <t>ED-50759</t>
  </si>
  <si>
    <t>REBOCO COM ARGAMASSA, TRAÇO 1:7 (CIMENTO E AREIA), ESP.20MM, APLICAÇÃO MANUAL, INCLUSIVE ARGAMASSA COM PREPARO MECANIZADO, EXCLUSIVE CHAPISCO</t>
  </si>
  <si>
    <t>4.5</t>
  </si>
  <si>
    <t>ED-50453</t>
  </si>
  <si>
    <t>PINTURA ACRÍLICA EM PAREDE, TRÊS (3) DEMÃOS, EXCLUSIVE SELADOR ACRÍLICO E MASSA ACRÍLICA/CORRIDA (PVA)</t>
  </si>
  <si>
    <t>Custo Total com BDI incluso</t>
  </si>
  <si>
    <t>Data :</t>
  </si>
  <si>
    <t>_________________________________________________</t>
  </si>
  <si>
    <t>Marcus Paulo de Souza Lima</t>
  </si>
  <si>
    <t>Gilberto Damas de Souza</t>
  </si>
  <si>
    <t>Engª Civil - CREA 71.191/D</t>
  </si>
  <si>
    <t>Prefeito Municipal de Faria Lemos</t>
  </si>
  <si>
    <t>PREFEITURA MUNICIPAL DE FARIA LEMOS - MG</t>
  </si>
  <si>
    <t>CRONOGRAMA FÍSICO-FINANCEIRO</t>
  </si>
  <si>
    <t>GLOBAL</t>
  </si>
  <si>
    <t>1 - IDENTIFICAÇÃO</t>
  </si>
  <si>
    <t xml:space="preserve">Município: </t>
  </si>
  <si>
    <t>Faria Lemos (MG)</t>
  </si>
  <si>
    <t xml:space="preserve">Data elaboração orçamento:  </t>
  </si>
  <si>
    <t>DISCRIMINAÇÃO  DOS SERVIÇOS</t>
  </si>
  <si>
    <t xml:space="preserve">VALOR DOS SERVIÇOS </t>
  </si>
  <si>
    <t>PESO</t>
  </si>
  <si>
    <t>SERVIÇOS A EXECUTAR</t>
  </si>
  <si>
    <t>MÊS -01</t>
  </si>
  <si>
    <t>MÊS 02</t>
  </si>
  <si>
    <t>MÊS 03</t>
  </si>
  <si>
    <t>MÊS 04</t>
  </si>
  <si>
    <t>MÊS 05</t>
  </si>
  <si>
    <t>MÊS 06</t>
  </si>
  <si>
    <t>%</t>
  </si>
  <si>
    <t>SIMPL.%</t>
  </si>
  <si>
    <t>ACUM. %</t>
  </si>
  <si>
    <t>1.0</t>
  </si>
  <si>
    <t>2.0</t>
  </si>
  <si>
    <t>3.0</t>
  </si>
  <si>
    <t>TOTAL EM PERCENTUAL</t>
  </si>
  <si>
    <t xml:space="preserve">TOTAL REAIS </t>
  </si>
  <si>
    <t xml:space="preserve">TOTAL REAIS COM BDI </t>
  </si>
  <si>
    <t xml:space="preserve"> </t>
  </si>
  <si>
    <t>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</si>
</sst>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_(&quot;R$ &quot;* #,##0.00_);_(&quot;R$ &quot;* \(#,##0.00\);_(&quot;R$ &quot;* &quot;-&quot;??_);_(@_)"/>
    <numFmt numFmtId="166" formatCode="[$-416]d\ \ mmmm\,\ yyyy;@"/>
    <numFmt numFmtId="167" formatCode="0.000000"/>
  </numFmts>
  <fonts count="17" x14ac:knownFonts="1">
    <font>
      <sz val="11"/>
      <color theme="1"/>
      <name val="Calibri"/>
      <family val="2"/>
      <scheme val="minor"/>
    </font>
    <font>
      <sz val="11"/>
      <color theme="1"/>
      <name val="Calibri"/>
      <family val="2"/>
      <scheme val="minor"/>
    </font>
    <font>
      <sz val="10"/>
      <name val="Arial"/>
      <family val="2"/>
    </font>
    <font>
      <b/>
      <sz val="16"/>
      <name val="Arial"/>
      <family val="2"/>
    </font>
    <font>
      <b/>
      <sz val="10"/>
      <name val="Arial"/>
      <family val="2"/>
    </font>
    <font>
      <sz val="10"/>
      <name val="Arial"/>
    </font>
    <font>
      <b/>
      <sz val="11"/>
      <name val="Times New Roman"/>
      <family val="1"/>
    </font>
    <font>
      <sz val="14"/>
      <name val="Arial"/>
      <family val="2"/>
    </font>
    <font>
      <sz val="8.5"/>
      <name val="Arial"/>
      <family val="2"/>
    </font>
    <font>
      <b/>
      <sz val="12"/>
      <name val="Arial"/>
      <family val="2"/>
    </font>
    <font>
      <b/>
      <sz val="8.5"/>
      <name val="Arial"/>
      <family val="2"/>
    </font>
    <font>
      <b/>
      <sz val="9"/>
      <name val="Arial"/>
      <family val="2"/>
    </font>
    <font>
      <sz val="9"/>
      <name val="Arial"/>
      <family val="2"/>
    </font>
    <font>
      <sz val="8"/>
      <name val="Arial"/>
      <family val="2"/>
    </font>
    <font>
      <b/>
      <sz val="8"/>
      <name val="Arial"/>
      <family val="2"/>
    </font>
    <font>
      <b/>
      <sz val="9"/>
      <name val="Times New Roman"/>
      <family val="1"/>
    </font>
    <font>
      <sz val="8"/>
      <color indexed="81"/>
      <name val="Tahoma"/>
      <family val="2"/>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indexed="65"/>
        <bgColor indexed="64"/>
      </patternFill>
    </fill>
    <fill>
      <patternFill patternType="gray0625"/>
    </fill>
    <fill>
      <patternFill patternType="solid">
        <fgColor theme="0" tint="-4.9989318521683403E-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4" fontId="2" fillId="0" borderId="0" applyFont="0" applyFill="0" applyBorder="0" applyAlignment="0" applyProtection="0"/>
    <xf numFmtId="0" fontId="12" fillId="0" borderId="0"/>
  </cellStyleXfs>
  <cellXfs count="198">
    <xf numFmtId="0" fontId="0" fillId="0" borderId="0" xfId="0"/>
    <xf numFmtId="0" fontId="3" fillId="0" borderId="1"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4" fillId="0" borderId="4"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horizontal="center" vertical="center"/>
    </xf>
    <xf numFmtId="43" fontId="2" fillId="0" borderId="0" xfId="1" applyFont="1" applyBorder="1" applyAlignment="1">
      <alignment horizontal="right" vertical="center"/>
    </xf>
    <xf numFmtId="0" fontId="2" fillId="0" borderId="0" xfId="0" applyFont="1" applyBorder="1" applyAlignment="1">
      <alignment vertical="center"/>
    </xf>
    <xf numFmtId="43" fontId="2" fillId="2" borderId="0" xfId="1" applyFont="1" applyFill="1" applyBorder="1" applyAlignment="1">
      <alignment vertical="center" wrapText="1"/>
    </xf>
    <xf numFmtId="43" fontId="4" fillId="2" borderId="0" xfId="1" applyFont="1" applyFill="1" applyBorder="1" applyAlignment="1">
      <alignment vertical="center" wrapText="1"/>
    </xf>
    <xf numFmtId="14" fontId="4" fillId="2" borderId="5" xfId="1" applyNumberFormat="1" applyFont="1" applyFill="1" applyBorder="1" applyAlignment="1">
      <alignment vertical="center" wrapText="1"/>
    </xf>
    <xf numFmtId="43" fontId="4" fillId="2" borderId="5" xfId="1" applyFont="1" applyFill="1" applyBorder="1" applyAlignment="1">
      <alignment vertical="center" wrapText="1"/>
    </xf>
    <xf numFmtId="0" fontId="4" fillId="2" borderId="4" xfId="3" applyFont="1" applyFill="1" applyBorder="1" applyAlignment="1">
      <alignment horizontal="left" vertical="center"/>
    </xf>
    <xf numFmtId="9" fontId="4" fillId="0" borderId="0" xfId="0" applyNumberFormat="1" applyFont="1" applyFill="1" applyBorder="1" applyAlignment="1">
      <alignment horizontal="center" vertical="center"/>
    </xf>
    <xf numFmtId="10" fontId="4" fillId="2" borderId="5" xfId="2" applyNumberFormat="1" applyFont="1" applyFill="1" applyBorder="1" applyAlignment="1">
      <alignment horizontal="center" vertical="center" wrapText="1"/>
    </xf>
    <xf numFmtId="43" fontId="2" fillId="2" borderId="5" xfId="1" applyFont="1" applyFill="1" applyBorder="1" applyAlignment="1">
      <alignment vertical="center" wrapText="1"/>
    </xf>
    <xf numFmtId="9" fontId="2" fillId="0" borderId="0" xfId="0" applyNumberFormat="1" applyFont="1" applyBorder="1" applyAlignment="1">
      <alignment vertical="center"/>
    </xf>
    <xf numFmtId="9" fontId="2" fillId="2" borderId="5" xfId="2" applyFont="1" applyFill="1" applyBorder="1" applyAlignment="1">
      <alignment horizontal="center" vertical="center" wrapText="1"/>
    </xf>
    <xf numFmtId="0" fontId="2" fillId="0" borderId="4"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5" xfId="0" applyFont="1" applyBorder="1" applyAlignment="1">
      <alignment vertical="center"/>
    </xf>
    <xf numFmtId="0" fontId="4" fillId="3" borderId="9" xfId="3" applyFont="1" applyFill="1" applyBorder="1" applyAlignment="1">
      <alignment horizontal="center" vertical="center" wrapText="1"/>
    </xf>
    <xf numFmtId="4" fontId="4" fillId="4" borderId="10" xfId="3" applyNumberFormat="1" applyFont="1" applyFill="1" applyBorder="1" applyAlignment="1">
      <alignment horizontal="center" vertical="center" wrapText="1"/>
    </xf>
    <xf numFmtId="4" fontId="4" fillId="4" borderId="10" xfId="3" applyNumberFormat="1" applyFont="1" applyFill="1" applyBorder="1" applyAlignment="1">
      <alignment horizontal="center" vertical="center"/>
    </xf>
    <xf numFmtId="0" fontId="4" fillId="5" borderId="11" xfId="0" applyFont="1" applyFill="1" applyBorder="1" applyAlignment="1">
      <alignment horizontal="left" vertical="center"/>
    </xf>
    <xf numFmtId="0" fontId="4" fillId="5" borderId="12" xfId="0" applyFont="1" applyFill="1" applyBorder="1" applyAlignment="1">
      <alignment horizontal="left" vertical="center"/>
    </xf>
    <xf numFmtId="0" fontId="4" fillId="5" borderId="13" xfId="0" applyFont="1" applyFill="1" applyBorder="1" applyAlignment="1">
      <alignment horizontal="left" vertical="center"/>
    </xf>
    <xf numFmtId="0" fontId="4" fillId="3" borderId="14" xfId="3" applyFont="1" applyFill="1" applyBorder="1" applyAlignment="1">
      <alignment horizontal="center" vertical="center" wrapText="1"/>
    </xf>
    <xf numFmtId="0" fontId="4" fillId="3" borderId="14" xfId="3" applyFont="1" applyFill="1" applyBorder="1" applyAlignment="1">
      <alignment horizontal="left" vertical="center" wrapText="1"/>
    </xf>
    <xf numFmtId="4" fontId="2" fillId="3" borderId="14" xfId="3" applyNumberFormat="1" applyFont="1" applyFill="1" applyBorder="1" applyAlignment="1">
      <alignment vertical="center" wrapText="1"/>
    </xf>
    <xf numFmtId="4" fontId="4" fillId="3" borderId="15" xfId="3" applyNumberFormat="1" applyFont="1" applyFill="1" applyBorder="1" applyAlignment="1">
      <alignment vertical="center" wrapText="1"/>
    </xf>
    <xf numFmtId="0" fontId="2" fillId="0" borderId="4" xfId="0" applyFont="1" applyFill="1" applyBorder="1" applyAlignment="1">
      <alignment vertical="center"/>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4" xfId="0" applyFont="1" applyFill="1" applyBorder="1" applyAlignment="1">
      <alignment horizontal="left" vertical="center" wrapText="1"/>
    </xf>
    <xf numFmtId="43" fontId="2" fillId="0" borderId="14" xfId="1" applyFont="1" applyFill="1" applyBorder="1" applyAlignment="1">
      <alignment horizontal="right" vertical="center"/>
    </xf>
    <xf numFmtId="43" fontId="2" fillId="0" borderId="14" xfId="1" applyNumberFormat="1" applyFont="1" applyFill="1" applyBorder="1" applyAlignment="1">
      <alignment horizontal="right" vertical="center"/>
    </xf>
    <xf numFmtId="4" fontId="2" fillId="0" borderId="15" xfId="1" applyNumberFormat="1" applyFont="1" applyFill="1" applyBorder="1" applyAlignment="1">
      <alignment horizontal="right" vertical="center"/>
    </xf>
    <xf numFmtId="0" fontId="4" fillId="0" borderId="14" xfId="3" applyFont="1" applyFill="1" applyBorder="1" applyAlignment="1">
      <alignment vertical="center"/>
    </xf>
    <xf numFmtId="0" fontId="2" fillId="0" borderId="14" xfId="3" applyFont="1" applyFill="1" applyBorder="1" applyAlignment="1">
      <alignment vertical="center"/>
    </xf>
    <xf numFmtId="0" fontId="2" fillId="0" borderId="14" xfId="3" applyFont="1" applyFill="1" applyBorder="1" applyAlignment="1">
      <alignment horizontal="left" vertical="center" wrapText="1"/>
    </xf>
    <xf numFmtId="0" fontId="2" fillId="0" borderId="14" xfId="3" applyFont="1" applyFill="1" applyBorder="1" applyAlignment="1">
      <alignment horizontal="center" vertical="center"/>
    </xf>
    <xf numFmtId="0" fontId="2" fillId="0" borderId="14"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4" fontId="2" fillId="0" borderId="0" xfId="1" applyNumberFormat="1" applyFont="1" applyFill="1" applyBorder="1" applyAlignment="1">
      <alignment horizontal="right" vertical="center"/>
    </xf>
    <xf numFmtId="43" fontId="2" fillId="0" borderId="0" xfId="1" applyFont="1" applyFill="1" applyBorder="1" applyAlignment="1">
      <alignment horizontal="right" vertical="center"/>
    </xf>
    <xf numFmtId="4" fontId="2" fillId="0" borderId="5" xfId="1" applyNumberFormat="1" applyFont="1" applyFill="1" applyBorder="1" applyAlignment="1">
      <alignment horizontal="right" vertical="center"/>
    </xf>
    <xf numFmtId="0" fontId="2" fillId="0" borderId="6" xfId="0" applyFont="1" applyFill="1" applyBorder="1" applyAlignment="1">
      <alignment vertical="center"/>
    </xf>
    <xf numFmtId="4" fontId="4" fillId="3" borderId="16" xfId="3" applyNumberFormat="1" applyFont="1" applyFill="1" applyBorder="1" applyAlignment="1">
      <alignment horizontal="right" vertical="center" wrapText="1"/>
    </xf>
    <xf numFmtId="4" fontId="2" fillId="3" borderId="16" xfId="3" applyNumberFormat="1" applyFont="1" applyFill="1" applyBorder="1" applyAlignment="1">
      <alignment vertical="center" wrapText="1"/>
    </xf>
    <xf numFmtId="4" fontId="4" fillId="3" borderId="17" xfId="3" applyNumberFormat="1" applyFont="1" applyFill="1" applyBorder="1" applyAlignment="1">
      <alignment vertical="center" wrapText="1"/>
    </xf>
    <xf numFmtId="0" fontId="2" fillId="0" borderId="0" xfId="0" applyFont="1" applyFill="1" applyAlignment="1">
      <alignment vertical="center"/>
    </xf>
    <xf numFmtId="0" fontId="4" fillId="0" borderId="0" xfId="0" applyFont="1" applyBorder="1" applyAlignment="1">
      <alignment horizontal="right"/>
    </xf>
    <xf numFmtId="14" fontId="4" fillId="0" borderId="0" xfId="0" applyNumberFormat="1" applyFont="1" applyBorder="1" applyAlignment="1">
      <alignment horizontal="right"/>
    </xf>
    <xf numFmtId="165" fontId="2" fillId="0" borderId="0" xfId="0" applyNumberFormat="1" applyFont="1" applyBorder="1"/>
    <xf numFmtId="0" fontId="2" fillId="0" borderId="0" xfId="0" applyFont="1" applyBorder="1" applyAlignment="1">
      <alignment horizontal="center"/>
    </xf>
    <xf numFmtId="43" fontId="2" fillId="0" borderId="0" xfId="4" applyNumberFormat="1" applyFont="1" applyBorder="1" applyAlignment="1">
      <alignment horizontal="center"/>
    </xf>
    <xf numFmtId="14" fontId="4" fillId="0" borderId="0" xfId="0" applyNumberFormat="1" applyFont="1" applyBorder="1" applyAlignment="1">
      <alignment horizont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Fill="1" applyAlignment="1">
      <alignment vertical="center" wrapText="1"/>
    </xf>
    <xf numFmtId="0" fontId="5" fillId="0" borderId="0" xfId="0" applyFont="1" applyFill="1" applyAlignment="1">
      <alignment vertical="center"/>
    </xf>
    <xf numFmtId="0" fontId="3" fillId="0" borderId="4" xfId="3" applyFont="1" applyFill="1" applyBorder="1" applyAlignment="1">
      <alignment horizontal="center" wrapText="1"/>
    </xf>
    <xf numFmtId="0" fontId="3" fillId="0" borderId="0" xfId="3" applyFont="1" applyFill="1" applyBorder="1" applyAlignment="1">
      <alignment horizontal="center" wrapText="1"/>
    </xf>
    <xf numFmtId="0" fontId="7" fillId="0" borderId="0" xfId="0" applyFont="1" applyFill="1" applyBorder="1"/>
    <xf numFmtId="0" fontId="8" fillId="0" borderId="0" xfId="0" applyFont="1" applyFill="1" applyBorder="1"/>
    <xf numFmtId="2" fontId="8" fillId="0" borderId="0" xfId="0" applyNumberFormat="1" applyFont="1" applyFill="1" applyBorder="1"/>
    <xf numFmtId="4" fontId="8" fillId="0" borderId="0" xfId="0" applyNumberFormat="1" applyFont="1" applyFill="1" applyBorder="1"/>
    <xf numFmtId="10" fontId="8" fillId="0" borderId="0" xfId="0" applyNumberFormat="1" applyFont="1" applyFill="1" applyBorder="1" applyAlignment="1">
      <alignment horizontal="center"/>
    </xf>
    <xf numFmtId="0" fontId="8" fillId="0" borderId="0" xfId="0" applyFont="1" applyFill="1"/>
    <xf numFmtId="0" fontId="9" fillId="0" borderId="0" xfId="0" applyFont="1" applyFill="1" applyBorder="1" applyProtection="1"/>
    <xf numFmtId="0" fontId="4" fillId="0" borderId="0" xfId="0" applyFont="1" applyFill="1" applyBorder="1" applyProtection="1"/>
    <xf numFmtId="0" fontId="10" fillId="0" borderId="0" xfId="0" applyFont="1" applyFill="1" applyBorder="1" applyProtection="1"/>
    <xf numFmtId="0" fontId="2" fillId="0" borderId="0" xfId="0" applyFont="1" applyFill="1" applyBorder="1" applyProtection="1"/>
    <xf numFmtId="4" fontId="8" fillId="0" borderId="0" xfId="0" applyNumberFormat="1" applyFont="1" applyFill="1" applyBorder="1" applyProtection="1"/>
    <xf numFmtId="10" fontId="10" fillId="0" borderId="0" xfId="0" applyNumberFormat="1" applyFont="1" applyFill="1" applyBorder="1" applyAlignment="1" applyProtection="1">
      <alignment horizontal="center"/>
    </xf>
    <xf numFmtId="0" fontId="11" fillId="0" borderId="1" xfId="0" applyFont="1" applyFill="1" applyBorder="1" applyAlignment="1" applyProtection="1">
      <alignment horizontal="left" wrapText="1"/>
    </xf>
    <xf numFmtId="0" fontId="11" fillId="0" borderId="2" xfId="0" applyFont="1" applyFill="1" applyBorder="1" applyAlignment="1" applyProtection="1">
      <alignment horizontal="left" wrapText="1"/>
    </xf>
    <xf numFmtId="0" fontId="11" fillId="0" borderId="3" xfId="0" applyFont="1" applyFill="1" applyBorder="1" applyAlignment="1" applyProtection="1">
      <alignment horizontal="left" wrapText="1"/>
    </xf>
    <xf numFmtId="0" fontId="11" fillId="0" borderId="18" xfId="0" applyFont="1" applyFill="1" applyBorder="1" applyAlignment="1" applyProtection="1">
      <alignment wrapText="1"/>
    </xf>
    <xf numFmtId="0" fontId="11" fillId="0" borderId="19" xfId="0" applyFont="1" applyFill="1" applyBorder="1" applyAlignment="1">
      <alignment horizontal="left" wrapText="1"/>
    </xf>
    <xf numFmtId="0" fontId="11" fillId="0" borderId="19" xfId="0" applyFont="1" applyFill="1" applyBorder="1" applyAlignment="1">
      <alignment wrapText="1"/>
    </xf>
    <xf numFmtId="0" fontId="11" fillId="0" borderId="20" xfId="0" applyFont="1" applyFill="1" applyBorder="1" applyAlignment="1" applyProtection="1">
      <alignment horizontal="left" wrapText="1"/>
    </xf>
    <xf numFmtId="0" fontId="11" fillId="0" borderId="19" xfId="0" applyFont="1" applyFill="1" applyBorder="1" applyAlignment="1" applyProtection="1">
      <alignment horizontal="left" wrapText="1"/>
    </xf>
    <xf numFmtId="166" fontId="11" fillId="0" borderId="19" xfId="0" applyNumberFormat="1" applyFont="1" applyFill="1" applyBorder="1" applyAlignment="1">
      <alignment horizontal="left" wrapText="1"/>
    </xf>
    <xf numFmtId="166" fontId="11" fillId="0" borderId="21" xfId="0" applyNumberFormat="1" applyFont="1" applyFill="1" applyBorder="1" applyAlignment="1">
      <alignment horizontal="left" wrapText="1"/>
    </xf>
    <xf numFmtId="0" fontId="11" fillId="0" borderId="6" xfId="0" applyFont="1" applyFill="1" applyBorder="1" applyAlignment="1" applyProtection="1">
      <alignment horizontal="left" wrapText="1"/>
    </xf>
    <xf numFmtId="0" fontId="11" fillId="0" borderId="7" xfId="0" applyFont="1" applyFill="1" applyBorder="1" applyAlignment="1" applyProtection="1">
      <alignment horizontal="left" wrapText="1"/>
    </xf>
    <xf numFmtId="0" fontId="11" fillId="0" borderId="8" xfId="0" applyFont="1" applyFill="1" applyBorder="1" applyAlignment="1" applyProtection="1">
      <alignment horizontal="left" wrapText="1"/>
    </xf>
    <xf numFmtId="2" fontId="11" fillId="0" borderId="4" xfId="5" applyNumberFormat="1" applyFont="1" applyBorder="1" applyAlignment="1"/>
    <xf numFmtId="2" fontId="12" fillId="0" borderId="0" xfId="5" applyNumberFormat="1" applyBorder="1"/>
    <xf numFmtId="2" fontId="12" fillId="0" borderId="5" xfId="5" applyNumberFormat="1" applyBorder="1"/>
    <xf numFmtId="2" fontId="11" fillId="0" borderId="1" xfId="5" applyNumberFormat="1" applyFont="1" applyBorder="1" applyAlignment="1">
      <alignment horizontal="center" vertical="center"/>
    </xf>
    <xf numFmtId="2" fontId="11" fillId="0" borderId="22" xfId="5" applyNumberFormat="1" applyFont="1" applyBorder="1" applyAlignment="1">
      <alignment horizontal="center" vertical="center"/>
    </xf>
    <xf numFmtId="2" fontId="11" fillId="0" borderId="23" xfId="5" applyNumberFormat="1" applyFont="1" applyBorder="1" applyAlignment="1">
      <alignment horizontal="center" vertical="center"/>
    </xf>
    <xf numFmtId="2" fontId="11" fillId="0" borderId="23" xfId="5" applyNumberFormat="1" applyFont="1" applyBorder="1" applyAlignment="1">
      <alignment horizontal="center" vertical="center" wrapText="1"/>
    </xf>
    <xf numFmtId="2" fontId="11" fillId="0" borderId="24" xfId="5" applyNumberFormat="1" applyFont="1" applyBorder="1" applyAlignment="1">
      <alignment horizontal="center"/>
    </xf>
    <xf numFmtId="2" fontId="11" fillId="0" borderId="25" xfId="5" applyNumberFormat="1" applyFont="1" applyBorder="1" applyAlignment="1">
      <alignment horizontal="center"/>
    </xf>
    <xf numFmtId="2" fontId="11" fillId="0" borderId="26" xfId="5" applyNumberFormat="1" applyFont="1" applyBorder="1" applyAlignment="1">
      <alignment horizontal="center"/>
    </xf>
    <xf numFmtId="2" fontId="11" fillId="0" borderId="4" xfId="5" applyNumberFormat="1" applyFont="1" applyBorder="1" applyAlignment="1">
      <alignment horizontal="center" vertical="center"/>
    </xf>
    <xf numFmtId="2" fontId="11" fillId="0" borderId="27" xfId="5" applyNumberFormat="1" applyFont="1" applyBorder="1" applyAlignment="1">
      <alignment horizontal="center" vertical="center"/>
    </xf>
    <xf numFmtId="2" fontId="11" fillId="0" borderId="28" xfId="5" applyNumberFormat="1" applyFont="1" applyBorder="1" applyAlignment="1">
      <alignment horizontal="center" vertical="center"/>
    </xf>
    <xf numFmtId="2" fontId="11" fillId="0" borderId="28" xfId="5" applyNumberFormat="1" applyFont="1" applyBorder="1" applyAlignment="1">
      <alignment horizontal="center" vertical="center" wrapText="1"/>
    </xf>
    <xf numFmtId="2" fontId="11" fillId="0" borderId="29" xfId="5" applyNumberFormat="1" applyFont="1" applyBorder="1" applyAlignment="1">
      <alignment horizontal="center" vertical="center"/>
    </xf>
    <xf numFmtId="2" fontId="11" fillId="0" borderId="30" xfId="5" applyNumberFormat="1" applyFont="1" applyBorder="1" applyAlignment="1" applyProtection="1">
      <alignment horizontal="centerContinuous"/>
      <protection locked="0"/>
    </xf>
    <xf numFmtId="2" fontId="11" fillId="0" borderId="31" xfId="5" applyNumberFormat="1" applyFont="1" applyBorder="1" applyAlignment="1">
      <alignment horizontal="centerContinuous"/>
    </xf>
    <xf numFmtId="2" fontId="11" fillId="0" borderId="31" xfId="5" applyNumberFormat="1" applyFont="1" applyBorder="1" applyAlignment="1" applyProtection="1">
      <alignment horizontal="centerContinuous"/>
      <protection locked="0"/>
    </xf>
    <xf numFmtId="2" fontId="11" fillId="0" borderId="32" xfId="5" applyNumberFormat="1" applyFont="1" applyBorder="1" applyAlignment="1">
      <alignment horizontal="centerContinuous"/>
    </xf>
    <xf numFmtId="2" fontId="11" fillId="0" borderId="6" xfId="5" applyNumberFormat="1" applyFont="1" applyBorder="1" applyAlignment="1">
      <alignment horizontal="center" vertical="center"/>
    </xf>
    <xf numFmtId="2" fontId="11" fillId="0" borderId="33" xfId="5" applyNumberFormat="1" applyFont="1" applyBorder="1" applyAlignment="1">
      <alignment horizontal="center" vertical="center"/>
    </xf>
    <xf numFmtId="2" fontId="11" fillId="0" borderId="34" xfId="5" applyNumberFormat="1" applyFont="1" applyBorder="1" applyAlignment="1">
      <alignment horizontal="center" vertical="center"/>
    </xf>
    <xf numFmtId="2" fontId="11" fillId="0" borderId="34" xfId="5" applyNumberFormat="1" applyFont="1" applyBorder="1" applyAlignment="1">
      <alignment horizontal="center" vertical="center" wrapText="1"/>
    </xf>
    <xf numFmtId="2" fontId="11" fillId="0" borderId="7" xfId="5" applyNumberFormat="1" applyFont="1" applyBorder="1" applyAlignment="1">
      <alignment horizontal="center"/>
    </xf>
    <xf numFmtId="2" fontId="11" fillId="0" borderId="35" xfId="5" applyNumberFormat="1" applyFont="1" applyBorder="1" applyAlignment="1">
      <alignment horizontal="centerContinuous"/>
    </xf>
    <xf numFmtId="2" fontId="11" fillId="0" borderId="16" xfId="5" applyNumberFormat="1" applyFont="1" applyBorder="1" applyAlignment="1">
      <alignment horizontal="centerContinuous"/>
    </xf>
    <xf numFmtId="2" fontId="11" fillId="0" borderId="17" xfId="5" applyNumberFormat="1" applyFont="1" applyBorder="1" applyAlignment="1">
      <alignment horizontal="centerContinuous"/>
    </xf>
    <xf numFmtId="1" fontId="13" fillId="0" borderId="30" xfId="5" applyNumberFormat="1" applyFont="1" applyBorder="1" applyAlignment="1">
      <alignment horizontal="center" vertical="center"/>
    </xf>
    <xf numFmtId="0" fontId="13" fillId="0" borderId="20" xfId="5" applyNumberFormat="1" applyFont="1" applyBorder="1" applyAlignment="1">
      <alignment horizontal="left" vertical="center" wrapText="1"/>
    </xf>
    <xf numFmtId="0" fontId="13" fillId="0" borderId="36" xfId="5" applyNumberFormat="1" applyFont="1" applyBorder="1" applyAlignment="1">
      <alignment horizontal="left" vertical="center" wrapText="1"/>
    </xf>
    <xf numFmtId="164" fontId="13" fillId="6" borderId="31" xfId="4" applyFont="1" applyFill="1" applyBorder="1" applyAlignment="1" applyProtection="1">
      <alignment horizontal="right" vertical="center"/>
    </xf>
    <xf numFmtId="10" fontId="13" fillId="0" borderId="36" xfId="5" applyNumberFormat="1" applyFont="1" applyBorder="1" applyAlignment="1" applyProtection="1">
      <alignment horizontal="right" vertical="center"/>
    </xf>
    <xf numFmtId="2" fontId="13" fillId="0" borderId="31" xfId="5" applyNumberFormat="1" applyFont="1" applyBorder="1" applyAlignment="1" applyProtection="1">
      <alignment horizontal="right" vertical="center"/>
      <protection locked="0"/>
    </xf>
    <xf numFmtId="2" fontId="13" fillId="0" borderId="31" xfId="5" applyNumberFormat="1" applyFont="1" applyFill="1" applyBorder="1" applyAlignment="1" applyProtection="1">
      <alignment horizontal="right" vertical="center"/>
    </xf>
    <xf numFmtId="2" fontId="13" fillId="0" borderId="31" xfId="5" applyNumberFormat="1" applyFont="1" applyFill="1" applyBorder="1" applyAlignment="1" applyProtection="1">
      <alignment horizontal="right" vertical="center"/>
      <protection locked="0"/>
    </xf>
    <xf numFmtId="2" fontId="13" fillId="0" borderId="31" xfId="5" applyNumberFormat="1" applyFont="1" applyBorder="1" applyAlignment="1" applyProtection="1">
      <alignment vertical="center"/>
      <protection locked="0"/>
    </xf>
    <xf numFmtId="2" fontId="13" fillId="0" borderId="32" xfId="5" applyNumberFormat="1" applyFont="1" applyFill="1" applyBorder="1" applyAlignment="1" applyProtection="1">
      <alignment horizontal="right" vertical="center"/>
    </xf>
    <xf numFmtId="1" fontId="13" fillId="0" borderId="37" xfId="5" applyNumberFormat="1" applyFont="1" applyBorder="1" applyAlignment="1">
      <alignment horizontal="center" vertical="center"/>
    </xf>
    <xf numFmtId="0" fontId="13" fillId="0" borderId="12" xfId="5" applyNumberFormat="1" applyFont="1" applyBorder="1" applyAlignment="1">
      <alignment horizontal="left" vertical="center"/>
    </xf>
    <xf numFmtId="164" fontId="13" fillId="6" borderId="14" xfId="4" applyFont="1" applyFill="1" applyBorder="1" applyAlignment="1" applyProtection="1">
      <alignment horizontal="right" vertical="center"/>
    </xf>
    <xf numFmtId="10" fontId="13" fillId="0" borderId="13" xfId="5" applyNumberFormat="1" applyFont="1" applyBorder="1" applyAlignment="1" applyProtection="1">
      <alignment horizontal="right" vertical="center"/>
    </xf>
    <xf numFmtId="2" fontId="13" fillId="0" borderId="14" xfId="5" applyNumberFormat="1" applyFont="1" applyBorder="1" applyAlignment="1" applyProtection="1">
      <alignment horizontal="right" vertical="center"/>
      <protection locked="0"/>
    </xf>
    <xf numFmtId="2" fontId="13" fillId="0" borderId="14" xfId="5" applyNumberFormat="1" applyFont="1" applyFill="1" applyBorder="1" applyAlignment="1" applyProtection="1">
      <alignment horizontal="right" vertical="center"/>
    </xf>
    <xf numFmtId="2" fontId="13" fillId="0" borderId="14" xfId="5" applyNumberFormat="1" applyFont="1" applyFill="1" applyBorder="1" applyAlignment="1" applyProtection="1">
      <alignment horizontal="right" vertical="center"/>
      <protection locked="0"/>
    </xf>
    <xf numFmtId="2" fontId="13" fillId="0" borderId="14" xfId="5" applyNumberFormat="1" applyFont="1" applyBorder="1" applyAlignment="1" applyProtection="1">
      <alignment vertical="center"/>
      <protection locked="0"/>
    </xf>
    <xf numFmtId="2" fontId="13" fillId="0" borderId="15" xfId="5" applyNumberFormat="1" applyFont="1" applyFill="1" applyBorder="1" applyAlignment="1" applyProtection="1">
      <alignment horizontal="right" vertical="center"/>
    </xf>
    <xf numFmtId="0" fontId="14" fillId="0" borderId="12" xfId="5" applyNumberFormat="1" applyFont="1" applyBorder="1" applyAlignment="1">
      <alignment horizontal="left" vertical="center"/>
    </xf>
    <xf numFmtId="1" fontId="13" fillId="0" borderId="38" xfId="5" applyNumberFormat="1" applyFont="1" applyBorder="1" applyAlignment="1">
      <alignment horizontal="center" vertical="center"/>
    </xf>
    <xf numFmtId="0" fontId="13" fillId="0" borderId="11" xfId="5" applyNumberFormat="1" applyFont="1" applyBorder="1" applyAlignment="1">
      <alignment horizontal="left" vertical="center" wrapText="1"/>
    </xf>
    <xf numFmtId="0" fontId="13" fillId="0" borderId="13" xfId="5" applyNumberFormat="1" applyFont="1" applyBorder="1" applyAlignment="1">
      <alignment horizontal="left" vertical="center" wrapText="1"/>
    </xf>
    <xf numFmtId="1" fontId="13" fillId="0" borderId="11" xfId="5" applyNumberFormat="1" applyFont="1" applyBorder="1" applyAlignment="1">
      <alignment horizontal="left" vertical="top" wrapText="1"/>
    </xf>
    <xf numFmtId="1" fontId="13" fillId="0" borderId="13" xfId="5" applyNumberFormat="1" applyFont="1" applyBorder="1" applyAlignment="1">
      <alignment horizontal="left" vertical="top" wrapText="1"/>
    </xf>
    <xf numFmtId="10" fontId="13" fillId="0" borderId="39" xfId="5" applyNumberFormat="1" applyFont="1" applyBorder="1" applyAlignment="1" applyProtection="1">
      <alignment horizontal="right" vertical="center"/>
    </xf>
    <xf numFmtId="1" fontId="13" fillId="0" borderId="40" xfId="5" applyNumberFormat="1" applyFont="1" applyBorder="1" applyAlignment="1">
      <alignment horizontal="center" vertical="center"/>
    </xf>
    <xf numFmtId="0" fontId="13" fillId="0" borderId="41" xfId="5" applyNumberFormat="1" applyFont="1" applyBorder="1" applyAlignment="1">
      <alignment horizontal="left" vertical="center"/>
    </xf>
    <xf numFmtId="0" fontId="14" fillId="0" borderId="41" xfId="5" applyNumberFormat="1" applyFont="1" applyBorder="1" applyAlignment="1">
      <alignment horizontal="left" vertical="center"/>
    </xf>
    <xf numFmtId="2" fontId="14" fillId="0" borderId="40" xfId="5" applyNumberFormat="1" applyFont="1" applyBorder="1" applyAlignment="1">
      <alignment vertical="center"/>
    </xf>
    <xf numFmtId="2" fontId="14" fillId="0" borderId="41" xfId="5" applyNumberFormat="1" applyFont="1" applyBorder="1" applyAlignment="1">
      <alignment vertical="center"/>
    </xf>
    <xf numFmtId="164" fontId="14" fillId="6" borderId="14" xfId="4" applyFont="1" applyFill="1" applyBorder="1" applyAlignment="1" applyProtection="1">
      <alignment horizontal="center" vertical="center"/>
    </xf>
    <xf numFmtId="10" fontId="14" fillId="0" borderId="14" xfId="5" applyNumberFormat="1" applyFont="1" applyBorder="1" applyAlignment="1" applyProtection="1">
      <alignment horizontal="right" vertical="center"/>
    </xf>
    <xf numFmtId="10" fontId="14" fillId="6" borderId="14" xfId="5" applyNumberFormat="1" applyFont="1" applyFill="1" applyBorder="1" applyAlignment="1">
      <alignment horizontal="right" vertical="center"/>
    </xf>
    <xf numFmtId="10" fontId="14" fillId="0" borderId="14" xfId="5" applyNumberFormat="1" applyFont="1" applyFill="1" applyBorder="1" applyAlignment="1" applyProtection="1">
      <alignment horizontal="right" vertical="center"/>
    </xf>
    <xf numFmtId="10" fontId="14" fillId="0" borderId="14" xfId="5" applyNumberFormat="1" applyFont="1" applyFill="1" applyBorder="1" applyAlignment="1">
      <alignment horizontal="right" vertical="center"/>
    </xf>
    <xf numFmtId="10" fontId="14" fillId="0" borderId="15" xfId="5" applyNumberFormat="1" applyFont="1" applyFill="1" applyBorder="1" applyAlignment="1" applyProtection="1">
      <alignment horizontal="right" vertical="center"/>
    </xf>
    <xf numFmtId="2" fontId="14" fillId="0" borderId="42" xfId="5" applyNumberFormat="1" applyFont="1" applyBorder="1" applyAlignment="1">
      <alignment vertical="center"/>
    </xf>
    <xf numFmtId="2" fontId="14" fillId="0" borderId="0" xfId="5" applyNumberFormat="1" applyFont="1" applyBorder="1" applyAlignment="1">
      <alignment vertical="center"/>
    </xf>
    <xf numFmtId="164" fontId="14" fillId="0" borderId="14" xfId="4" applyFont="1" applyBorder="1" applyAlignment="1" applyProtection="1">
      <alignment horizontal="center" vertical="center"/>
    </xf>
    <xf numFmtId="2" fontId="13" fillId="7" borderId="0" xfId="5" applyNumberFormat="1" applyFont="1" applyFill="1" applyBorder="1" applyAlignment="1">
      <alignment horizontal="right" vertical="center"/>
    </xf>
    <xf numFmtId="164" fontId="14" fillId="0" borderId="14" xfId="4" applyNumberFormat="1" applyFont="1" applyBorder="1" applyAlignment="1">
      <alignment horizontal="right" vertical="center"/>
    </xf>
    <xf numFmtId="164" fontId="14" fillId="0" borderId="14" xfId="4" applyNumberFormat="1" applyFont="1" applyFill="1" applyBorder="1" applyAlignment="1" applyProtection="1">
      <alignment horizontal="right" vertical="center"/>
    </xf>
    <xf numFmtId="164" fontId="14" fillId="0" borderId="14" xfId="4" applyNumberFormat="1" applyFont="1" applyFill="1" applyBorder="1" applyAlignment="1">
      <alignment horizontal="right" vertical="center"/>
    </xf>
    <xf numFmtId="164" fontId="14" fillId="0" borderId="15" xfId="4" applyNumberFormat="1" applyFont="1" applyFill="1" applyBorder="1" applyAlignment="1" applyProtection="1">
      <alignment horizontal="right" vertical="center"/>
    </xf>
    <xf numFmtId="2" fontId="14" fillId="0" borderId="43" xfId="5" applyNumberFormat="1" applyFont="1" applyBorder="1" applyAlignment="1">
      <alignment horizontal="left" vertical="center"/>
    </xf>
    <xf numFmtId="2" fontId="14" fillId="0" borderId="44" xfId="5" applyNumberFormat="1" applyFont="1" applyBorder="1" applyAlignment="1">
      <alignment horizontal="left" vertical="center"/>
    </xf>
    <xf numFmtId="10" fontId="14" fillId="0" borderId="45" xfId="5" applyNumberFormat="1" applyFont="1" applyBorder="1" applyAlignment="1">
      <alignment horizontal="left" vertical="center"/>
    </xf>
    <xf numFmtId="164" fontId="14" fillId="0" borderId="45" xfId="4" applyFont="1" applyBorder="1" applyAlignment="1" applyProtection="1">
      <alignment horizontal="center" vertical="center"/>
    </xf>
    <xf numFmtId="2" fontId="13" fillId="7" borderId="16" xfId="5" applyNumberFormat="1" applyFont="1" applyFill="1" applyBorder="1" applyAlignment="1">
      <alignment horizontal="right" vertical="center"/>
    </xf>
    <xf numFmtId="164" fontId="14" fillId="0" borderId="16" xfId="4" applyNumberFormat="1" applyFont="1" applyBorder="1" applyAlignment="1">
      <alignment horizontal="right" vertical="center"/>
    </xf>
    <xf numFmtId="164" fontId="14" fillId="0" borderId="16" xfId="4" applyNumberFormat="1" applyFont="1" applyFill="1" applyBorder="1" applyAlignment="1" applyProtection="1">
      <alignment horizontal="right" vertical="center"/>
    </xf>
    <xf numFmtId="164" fontId="14" fillId="0" borderId="16" xfId="4" applyNumberFormat="1" applyFont="1" applyFill="1" applyBorder="1" applyAlignment="1">
      <alignment horizontal="right" vertical="center"/>
    </xf>
    <xf numFmtId="164" fontId="14" fillId="0" borderId="17" xfId="4" applyNumberFormat="1" applyFont="1" applyFill="1" applyBorder="1" applyAlignment="1" applyProtection="1">
      <alignment horizontal="right" vertical="center"/>
    </xf>
    <xf numFmtId="2" fontId="14" fillId="8" borderId="24" xfId="5" applyNumberFormat="1" applyFont="1" applyFill="1" applyBorder="1" applyAlignment="1">
      <alignment horizontal="center" vertical="center"/>
    </xf>
    <xf numFmtId="2" fontId="14" fillId="8" borderId="25" xfId="5" applyNumberFormat="1" applyFont="1" applyFill="1" applyBorder="1" applyAlignment="1">
      <alignment horizontal="center" vertical="center"/>
    </xf>
    <xf numFmtId="2" fontId="14" fillId="8" borderId="26" xfId="5" applyNumberFormat="1" applyFont="1" applyFill="1" applyBorder="1" applyAlignment="1">
      <alignment horizontal="center" vertical="center"/>
    </xf>
    <xf numFmtId="2" fontId="12" fillId="0" borderId="0" xfId="5" applyNumberFormat="1"/>
    <xf numFmtId="166" fontId="11" fillId="0" borderId="0" xfId="5" applyNumberFormat="1" applyFont="1" applyBorder="1" applyAlignment="1" applyProtection="1">
      <alignment horizontal="left"/>
      <protection locked="0"/>
    </xf>
    <xf numFmtId="10" fontId="12" fillId="0" borderId="0" xfId="5" applyNumberFormat="1" applyAlignment="1">
      <alignment horizontal="center"/>
    </xf>
    <xf numFmtId="2" fontId="12" fillId="0" borderId="0" xfId="5" applyNumberFormat="1" applyAlignment="1"/>
    <xf numFmtId="2" fontId="8" fillId="0" borderId="0" xfId="5" applyNumberFormat="1" applyFont="1" applyAlignment="1"/>
    <xf numFmtId="2" fontId="11" fillId="0" borderId="0" xfId="5" applyNumberFormat="1" applyFont="1"/>
    <xf numFmtId="0" fontId="0" fillId="0" borderId="0" xfId="0" applyBorder="1"/>
    <xf numFmtId="167" fontId="12" fillId="0" borderId="0" xfId="5" applyNumberFormat="1"/>
    <xf numFmtId="164" fontId="0" fillId="0" borderId="0" xfId="0" applyNumberFormat="1" applyBorder="1"/>
    <xf numFmtId="2" fontId="12" fillId="0" borderId="41" xfId="5" applyNumberFormat="1" applyBorder="1"/>
    <xf numFmtId="2" fontId="12" fillId="0" borderId="41" xfId="5" applyNumberFormat="1" applyBorder="1" applyAlignment="1">
      <alignment horizontal="center"/>
    </xf>
    <xf numFmtId="0" fontId="15" fillId="0" borderId="41" xfId="0" applyFont="1" applyBorder="1" applyAlignment="1">
      <alignment horizontal="center"/>
    </xf>
    <xf numFmtId="0" fontId="15" fillId="0" borderId="0" xfId="0" applyFont="1" applyBorder="1" applyAlignment="1">
      <alignment horizontal="center"/>
    </xf>
    <xf numFmtId="2" fontId="8" fillId="0" borderId="41" xfId="5" applyNumberFormat="1" applyFont="1" applyBorder="1" applyAlignment="1"/>
    <xf numFmtId="2" fontId="4" fillId="0" borderId="0" xfId="5" applyNumberFormat="1" applyFont="1" applyAlignment="1">
      <alignment horizontal="center"/>
    </xf>
    <xf numFmtId="0" fontId="15" fillId="0" borderId="0" xfId="0" applyFont="1" applyAlignment="1">
      <alignment horizontal="center"/>
    </xf>
    <xf numFmtId="0" fontId="12" fillId="0" borderId="0" xfId="0" applyFont="1"/>
    <xf numFmtId="2" fontId="12" fillId="0" borderId="0" xfId="5" applyNumberFormat="1" applyFont="1"/>
    <xf numFmtId="0" fontId="4" fillId="0" borderId="0" xfId="0" applyFont="1" applyBorder="1" applyAlignment="1">
      <alignment horizontal="center" vertical="center"/>
    </xf>
    <xf numFmtId="2" fontId="12" fillId="0" borderId="0" xfId="5" applyNumberFormat="1" applyAlignment="1">
      <alignment horizontal="center"/>
    </xf>
    <xf numFmtId="0" fontId="11" fillId="0" borderId="0" xfId="0" applyFont="1" applyBorder="1" applyAlignment="1">
      <alignment horizontal="center" vertical="center"/>
    </xf>
  </cellXfs>
  <cellStyles count="6">
    <cellStyle name="Normal" xfId="0" builtinId="0"/>
    <cellStyle name="Normal 2" xfId="3"/>
    <cellStyle name="Normal_Plan1" xfId="5"/>
    <cellStyle name="Porcentagem" xfId="2" builtinId="5"/>
    <cellStyle name="Vírgula" xfId="1" builtinId="3"/>
    <cellStyle name="Vírgula 2" xf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ILHA%20COBERTURA%20QUADRA%20VILA%20DO%20CAFARNAU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sheetName val="CRONOGRAMA"/>
    </sheetNames>
    <sheetDataSet>
      <sheetData sheetId="0">
        <row r="4">
          <cell r="A4" t="str">
            <v>Obra: CONSTRUÇÃO DE COBERTURA METÁLICA QUADRA VILA DO CAFARNAUM</v>
          </cell>
          <cell r="I4">
            <v>45308</v>
          </cell>
        </row>
        <row r="5">
          <cell r="A5" t="str">
            <v>Local: Vila do Cafarnaum, zona rural Faria Lemos – MG</v>
          </cell>
        </row>
        <row r="13">
          <cell r="D13" t="str">
            <v xml:space="preserve">SERVIÇOS PRELIMINARES </v>
          </cell>
          <cell r="I13">
            <v>760.94</v>
          </cell>
        </row>
        <row r="15">
          <cell r="D15" t="str">
            <v xml:space="preserve"> FUNDAÇÃO E ESTRUTURA</v>
          </cell>
          <cell r="I15">
            <v>10086.25</v>
          </cell>
        </row>
        <row r="22">
          <cell r="D22" t="str">
            <v>SUPERESTRUTURA</v>
          </cell>
          <cell r="I22">
            <v>3822.94</v>
          </cell>
        </row>
        <row r="25">
          <cell r="D25" t="str">
            <v>ESTRUTURA METÁLICA E COBERTURA</v>
          </cell>
          <cell r="I25">
            <v>210369.75</v>
          </cell>
        </row>
        <row r="30">
          <cell r="D30" t="str">
            <v>REVESTIMENTO E PINTURA</v>
          </cell>
          <cell r="I30">
            <v>15405.8</v>
          </cell>
        </row>
        <row r="46">
          <cell r="A46" t="str">
            <v>Marcus Paulo de Souza Lima</v>
          </cell>
          <cell r="E46" t="str">
            <v>Gilberto Damas de Souza</v>
          </cell>
        </row>
        <row r="47">
          <cell r="A47" t="str">
            <v>Engª Civil - CREA 71.191/D</v>
          </cell>
          <cell r="E47" t="str">
            <v>Prefeito Municipal de Faria Lemos</v>
          </cell>
        </row>
      </sheetData>
      <sheetData sheetId="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view="pageBreakPreview" topLeftCell="A26" zoomScaleNormal="100" zoomScaleSheetLayoutView="100" workbookViewId="0">
      <selection activeCell="D34" sqref="D34"/>
    </sheetView>
  </sheetViews>
  <sheetFormatPr defaultRowHeight="14.4" x14ac:dyDescent="0.3"/>
  <cols>
    <col min="1" max="1" width="2.33203125" customWidth="1"/>
    <col min="3" max="3" width="12.21875" customWidth="1"/>
    <col min="4" max="4" width="98" customWidth="1"/>
    <col min="7" max="7" width="11.6640625" customWidth="1"/>
    <col min="8" max="8" width="11.109375" customWidth="1"/>
    <col min="9" max="9" width="14.88671875" customWidth="1"/>
  </cols>
  <sheetData>
    <row r="1" spans="1:9" ht="21" x14ac:dyDescent="0.3">
      <c r="A1" s="1" t="s">
        <v>0</v>
      </c>
      <c r="B1" s="2"/>
      <c r="C1" s="2"/>
      <c r="D1" s="2"/>
      <c r="E1" s="2"/>
      <c r="F1" s="2"/>
      <c r="G1" s="2"/>
      <c r="H1" s="2"/>
      <c r="I1" s="3"/>
    </row>
    <row r="2" spans="1:9" x14ac:dyDescent="0.3">
      <c r="A2" s="4" t="s">
        <v>1</v>
      </c>
      <c r="B2" s="5"/>
      <c r="C2" s="5"/>
      <c r="D2" s="6"/>
      <c r="E2" s="7"/>
      <c r="F2" s="8"/>
      <c r="G2" s="9"/>
      <c r="H2" s="10" t="s">
        <v>2</v>
      </c>
      <c r="I2" s="11">
        <v>45308</v>
      </c>
    </row>
    <row r="3" spans="1:9" x14ac:dyDescent="0.3">
      <c r="A3" s="4" t="s">
        <v>3</v>
      </c>
      <c r="B3" s="5"/>
      <c r="C3" s="5"/>
      <c r="D3" s="6"/>
      <c r="E3" s="7"/>
      <c r="F3" s="8"/>
      <c r="G3" s="9"/>
      <c r="H3" s="10"/>
      <c r="I3" s="12"/>
    </row>
    <row r="4" spans="1:9" x14ac:dyDescent="0.3">
      <c r="A4" s="13" t="s">
        <v>4</v>
      </c>
      <c r="B4" s="5"/>
      <c r="C4" s="5"/>
      <c r="D4" s="6"/>
      <c r="E4" s="7"/>
      <c r="F4" s="14"/>
      <c r="G4" s="9"/>
      <c r="H4" s="10" t="s">
        <v>5</v>
      </c>
      <c r="I4" s="15">
        <v>0.2263</v>
      </c>
    </row>
    <row r="5" spans="1:9" x14ac:dyDescent="0.3">
      <c r="A5" s="13" t="s">
        <v>6</v>
      </c>
      <c r="B5" s="5"/>
      <c r="C5" s="5"/>
      <c r="D5" s="6"/>
      <c r="E5" s="7"/>
      <c r="F5" s="14"/>
      <c r="G5" s="9"/>
      <c r="H5" s="9"/>
      <c r="I5" s="16"/>
    </row>
    <row r="6" spans="1:9" x14ac:dyDescent="0.3">
      <c r="A6" s="4" t="s">
        <v>7</v>
      </c>
      <c r="B6" s="5"/>
      <c r="C6" s="5"/>
      <c r="D6" s="6"/>
      <c r="E6" s="7"/>
      <c r="F6" s="17"/>
      <c r="G6" s="9"/>
      <c r="H6" s="9"/>
      <c r="I6" s="18"/>
    </row>
    <row r="7" spans="1:9" ht="5.4" customHeight="1" thickBot="1" x14ac:dyDescent="0.35">
      <c r="A7" s="19"/>
      <c r="B7" s="6"/>
      <c r="C7" s="6"/>
      <c r="D7" s="20"/>
      <c r="E7" s="6"/>
      <c r="F7" s="7"/>
      <c r="G7" s="8"/>
      <c r="H7" s="21"/>
      <c r="I7" s="22"/>
    </row>
    <row r="8" spans="1:9" ht="66.599999999999994" thickBot="1" x14ac:dyDescent="0.35">
      <c r="A8" s="19"/>
      <c r="B8" s="23" t="s">
        <v>8</v>
      </c>
      <c r="C8" s="23" t="s">
        <v>9</v>
      </c>
      <c r="D8" s="23" t="s">
        <v>10</v>
      </c>
      <c r="E8" s="23" t="s">
        <v>11</v>
      </c>
      <c r="F8" s="23" t="s">
        <v>12</v>
      </c>
      <c r="G8" s="24" t="s">
        <v>13</v>
      </c>
      <c r="H8" s="24" t="s">
        <v>14</v>
      </c>
      <c r="I8" s="25" t="s">
        <v>15</v>
      </c>
    </row>
    <row r="9" spans="1:9" ht="5.4" customHeight="1" x14ac:dyDescent="0.3">
      <c r="A9" s="19"/>
      <c r="B9" s="6"/>
      <c r="C9" s="6"/>
      <c r="D9" s="20"/>
      <c r="E9" s="6"/>
      <c r="F9" s="7"/>
      <c r="G9" s="8"/>
      <c r="H9" s="21"/>
      <c r="I9" s="22"/>
    </row>
    <row r="10" spans="1:9" x14ac:dyDescent="0.3">
      <c r="A10" s="19"/>
      <c r="B10" s="26" t="s">
        <v>16</v>
      </c>
      <c r="C10" s="27"/>
      <c r="D10" s="27"/>
      <c r="E10" s="27"/>
      <c r="F10" s="27"/>
      <c r="G10" s="27"/>
      <c r="H10" s="27"/>
      <c r="I10" s="28"/>
    </row>
    <row r="11" spans="1:9" x14ac:dyDescent="0.3">
      <c r="A11" s="19"/>
      <c r="B11" s="29">
        <v>1</v>
      </c>
      <c r="C11" s="29"/>
      <c r="D11" s="30" t="s">
        <v>17</v>
      </c>
      <c r="E11" s="31"/>
      <c r="F11" s="31"/>
      <c r="G11" s="31"/>
      <c r="H11" s="31"/>
      <c r="I11" s="32">
        <f>I12</f>
        <v>760.94</v>
      </c>
    </row>
    <row r="12" spans="1:9" ht="52.8" x14ac:dyDescent="0.3">
      <c r="A12" s="33"/>
      <c r="B12" s="34" t="s">
        <v>18</v>
      </c>
      <c r="C12" s="35" t="s">
        <v>19</v>
      </c>
      <c r="D12" s="36" t="s">
        <v>20</v>
      </c>
      <c r="E12" s="34" t="s">
        <v>21</v>
      </c>
      <c r="F12" s="37">
        <v>2</v>
      </c>
      <c r="G12" s="37">
        <f>310.26</f>
        <v>310.26</v>
      </c>
      <c r="H12" s="38">
        <f>ROUND(G12*$I$4+G12,2)</f>
        <v>380.47</v>
      </c>
      <c r="I12" s="39">
        <f>ROUND(H12*F12,2)</f>
        <v>760.94</v>
      </c>
    </row>
    <row r="13" spans="1:9" x14ac:dyDescent="0.3">
      <c r="A13" s="19"/>
      <c r="B13" s="29">
        <v>2</v>
      </c>
      <c r="C13" s="29"/>
      <c r="D13" s="30" t="s">
        <v>22</v>
      </c>
      <c r="E13" s="31"/>
      <c r="F13" s="31"/>
      <c r="G13" s="31"/>
      <c r="H13" s="31"/>
      <c r="I13" s="32">
        <f>SUM(I15:I19)</f>
        <v>10086.25</v>
      </c>
    </row>
    <row r="14" spans="1:9" x14ac:dyDescent="0.3">
      <c r="A14" s="33"/>
      <c r="B14" s="35"/>
      <c r="C14" s="35"/>
      <c r="D14" s="40" t="s">
        <v>23</v>
      </c>
      <c r="E14" s="41"/>
      <c r="F14" s="37"/>
      <c r="G14" s="37"/>
      <c r="H14" s="37"/>
      <c r="I14" s="39"/>
    </row>
    <row r="15" spans="1:9" x14ac:dyDescent="0.3">
      <c r="A15" s="33"/>
      <c r="B15" s="35" t="s">
        <v>24</v>
      </c>
      <c r="C15" s="35" t="s">
        <v>25</v>
      </c>
      <c r="D15" s="42" t="s">
        <v>26</v>
      </c>
      <c r="E15" s="43" t="s">
        <v>27</v>
      </c>
      <c r="F15" s="37">
        <f>(16*1*1*0.05)</f>
        <v>0.8</v>
      </c>
      <c r="G15" s="37">
        <f>535.55</f>
        <v>535.54999999999995</v>
      </c>
      <c r="H15" s="38">
        <f t="shared" ref="H15:H22" si="0">ROUND(G15*$I$4+G15,2)</f>
        <v>656.74</v>
      </c>
      <c r="I15" s="39">
        <f t="shared" ref="I15:I22" si="1">ROUND(H15*F15,2)</f>
        <v>525.39</v>
      </c>
    </row>
    <row r="16" spans="1:9" x14ac:dyDescent="0.3">
      <c r="A16" s="33"/>
      <c r="B16" s="35" t="s">
        <v>28</v>
      </c>
      <c r="C16" s="35" t="s">
        <v>29</v>
      </c>
      <c r="D16" s="42" t="s">
        <v>30</v>
      </c>
      <c r="E16" s="43" t="s">
        <v>31</v>
      </c>
      <c r="F16" s="37">
        <f>(8*1*((0.2+0.5)*2))</f>
        <v>11.2</v>
      </c>
      <c r="G16" s="37">
        <f>46.62*0.8</f>
        <v>37.295999999999999</v>
      </c>
      <c r="H16" s="38">
        <f t="shared" si="0"/>
        <v>45.74</v>
      </c>
      <c r="I16" s="39">
        <f t="shared" si="1"/>
        <v>512.29</v>
      </c>
    </row>
    <row r="17" spans="1:11" ht="26.4" x14ac:dyDescent="0.3">
      <c r="A17" s="33"/>
      <c r="B17" s="35" t="s">
        <v>32</v>
      </c>
      <c r="C17" s="35" t="s">
        <v>33</v>
      </c>
      <c r="D17" s="42" t="s">
        <v>34</v>
      </c>
      <c r="E17" s="43" t="s">
        <v>35</v>
      </c>
      <c r="F17" s="37">
        <f>(2/0.15)*16*1.5*0.154</f>
        <v>49.28</v>
      </c>
      <c r="G17" s="37">
        <f>11.03*0.9</f>
        <v>9.9269999999999996</v>
      </c>
      <c r="H17" s="38">
        <f t="shared" si="0"/>
        <v>12.17</v>
      </c>
      <c r="I17" s="39">
        <f t="shared" si="1"/>
        <v>599.74</v>
      </c>
    </row>
    <row r="18" spans="1:11" ht="26.4" x14ac:dyDescent="0.3">
      <c r="A18" s="33"/>
      <c r="B18" s="35" t="s">
        <v>36</v>
      </c>
      <c r="C18" s="35" t="s">
        <v>37</v>
      </c>
      <c r="D18" s="42" t="s">
        <v>38</v>
      </c>
      <c r="E18" s="43" t="s">
        <v>35</v>
      </c>
      <c r="F18" s="37">
        <f>(((1/0.15)*1*2)*16*0.617)+(16*2*8*0.617)</f>
        <v>289.57866666666666</v>
      </c>
      <c r="G18" s="37">
        <f>9.79*0.9</f>
        <v>8.8109999999999999</v>
      </c>
      <c r="H18" s="38">
        <f t="shared" si="0"/>
        <v>10.8</v>
      </c>
      <c r="I18" s="39">
        <f t="shared" si="1"/>
        <v>3127.45</v>
      </c>
    </row>
    <row r="19" spans="1:11" ht="26.4" x14ac:dyDescent="0.3">
      <c r="A19" s="33"/>
      <c r="B19" s="35" t="s">
        <v>39</v>
      </c>
      <c r="C19" s="35">
        <v>94971</v>
      </c>
      <c r="D19" s="42" t="s">
        <v>40</v>
      </c>
      <c r="E19" s="43" t="s">
        <v>41</v>
      </c>
      <c r="F19" s="37">
        <f>(16*1*1*0.5)+(16*0.2*0.5*1)</f>
        <v>9.6</v>
      </c>
      <c r="G19" s="37">
        <f>502.24*0.9</f>
        <v>452.01600000000002</v>
      </c>
      <c r="H19" s="38">
        <f t="shared" si="0"/>
        <v>554.30999999999995</v>
      </c>
      <c r="I19" s="39">
        <f t="shared" si="1"/>
        <v>5321.38</v>
      </c>
    </row>
    <row r="20" spans="1:11" x14ac:dyDescent="0.3">
      <c r="A20" s="33"/>
      <c r="B20" s="29">
        <v>3</v>
      </c>
      <c r="C20" s="29"/>
      <c r="D20" s="30" t="s">
        <v>42</v>
      </c>
      <c r="E20" s="31"/>
      <c r="F20" s="31"/>
      <c r="G20" s="31"/>
      <c r="H20" s="31"/>
      <c r="I20" s="32">
        <f>SUM(I21:I22)</f>
        <v>3822.94</v>
      </c>
    </row>
    <row r="21" spans="1:11" x14ac:dyDescent="0.3">
      <c r="A21" s="33"/>
      <c r="B21" s="35" t="s">
        <v>43</v>
      </c>
      <c r="C21" s="35" t="s">
        <v>29</v>
      </c>
      <c r="D21" s="42" t="s">
        <v>30</v>
      </c>
      <c r="E21" s="43" t="s">
        <v>31</v>
      </c>
      <c r="F21" s="37">
        <f>(0.2+0.5)*2*2*16</f>
        <v>44.8</v>
      </c>
      <c r="G21" s="37">
        <f>46.62*0.8</f>
        <v>37.295999999999999</v>
      </c>
      <c r="H21" s="38">
        <f t="shared" si="0"/>
        <v>45.74</v>
      </c>
      <c r="I21" s="39">
        <f t="shared" si="1"/>
        <v>2049.15</v>
      </c>
    </row>
    <row r="22" spans="1:11" ht="26.4" x14ac:dyDescent="0.3">
      <c r="A22" s="33"/>
      <c r="B22" s="35" t="s">
        <v>44</v>
      </c>
      <c r="C22" s="35">
        <v>94971</v>
      </c>
      <c r="D22" s="42" t="s">
        <v>40</v>
      </c>
      <c r="E22" s="43" t="s">
        <v>41</v>
      </c>
      <c r="F22" s="37">
        <f>16*0.2*0.5*2</f>
        <v>3.2</v>
      </c>
      <c r="G22" s="37">
        <f>G19</f>
        <v>452.01600000000002</v>
      </c>
      <c r="H22" s="38">
        <f t="shared" si="0"/>
        <v>554.30999999999995</v>
      </c>
      <c r="I22" s="39">
        <f t="shared" si="1"/>
        <v>1773.79</v>
      </c>
    </row>
    <row r="23" spans="1:11" x14ac:dyDescent="0.3">
      <c r="A23" s="33"/>
      <c r="B23" s="29">
        <v>4</v>
      </c>
      <c r="C23" s="29"/>
      <c r="D23" s="30" t="s">
        <v>45</v>
      </c>
      <c r="E23" s="31"/>
      <c r="F23" s="31"/>
      <c r="G23" s="31"/>
      <c r="H23" s="31"/>
      <c r="I23" s="32">
        <f>SUM(I24:I27)</f>
        <v>210369.75</v>
      </c>
    </row>
    <row r="24" spans="1:11" ht="66" x14ac:dyDescent="0.3">
      <c r="A24" s="33"/>
      <c r="B24" s="34" t="s">
        <v>46</v>
      </c>
      <c r="C24" s="34" t="s">
        <v>47</v>
      </c>
      <c r="D24" s="44" t="s">
        <v>48</v>
      </c>
      <c r="E24" s="34" t="s">
        <v>31</v>
      </c>
      <c r="F24" s="37">
        <f>K24*K25</f>
        <v>818.3</v>
      </c>
      <c r="G24" s="37">
        <f>249.69*0.6</f>
        <v>149.81399999999999</v>
      </c>
      <c r="H24" s="38">
        <f>ROUND(G24*$I$4+G24,2)</f>
        <v>183.72</v>
      </c>
      <c r="I24" s="39">
        <f>ROUND(H24*F24,2)</f>
        <v>150338.07999999999</v>
      </c>
      <c r="K24" s="64">
        <v>33.4</v>
      </c>
    </row>
    <row r="25" spans="1:11" ht="26.4" x14ac:dyDescent="0.3">
      <c r="A25" s="33"/>
      <c r="B25" s="34" t="s">
        <v>49</v>
      </c>
      <c r="C25" s="34">
        <v>94213</v>
      </c>
      <c r="D25" s="36" t="s">
        <v>50</v>
      </c>
      <c r="E25" s="34" t="s">
        <v>31</v>
      </c>
      <c r="F25" s="37">
        <f>F24</f>
        <v>818.3</v>
      </c>
      <c r="G25" s="37">
        <f>61.75*0.8</f>
        <v>49.400000000000006</v>
      </c>
      <c r="H25" s="38">
        <f>ROUND(G25*$I$4+G25,2)</f>
        <v>60.58</v>
      </c>
      <c r="I25" s="39">
        <f>ROUND(H25*F25,2)</f>
        <v>49572.61</v>
      </c>
      <c r="K25" s="65">
        <v>24.5</v>
      </c>
    </row>
    <row r="26" spans="1:11" ht="26.4" x14ac:dyDescent="0.3">
      <c r="A26" s="33"/>
      <c r="B26" s="34" t="s">
        <v>51</v>
      </c>
      <c r="C26" s="34" t="s">
        <v>52</v>
      </c>
      <c r="D26" s="36" t="s">
        <v>53</v>
      </c>
      <c r="E26" s="34" t="s">
        <v>54</v>
      </c>
      <c r="F26" s="37">
        <f>2*5*6</f>
        <v>60</v>
      </c>
      <c r="G26" s="37">
        <f>88.09*0.8</f>
        <v>70.472000000000008</v>
      </c>
      <c r="H26" s="38">
        <f>ROUND(G26*$I$4+G26,2)</f>
        <v>86.42</v>
      </c>
      <c r="I26" s="39">
        <f>ROUND(H26*F26,2)</f>
        <v>5185.2</v>
      </c>
    </row>
    <row r="27" spans="1:11" x14ac:dyDescent="0.3">
      <c r="A27" s="33"/>
      <c r="B27" s="34" t="s">
        <v>55</v>
      </c>
      <c r="C27" s="34" t="s">
        <v>56</v>
      </c>
      <c r="D27" s="44" t="s">
        <v>57</v>
      </c>
      <c r="E27" s="34" t="s">
        <v>54</v>
      </c>
      <c r="F27" s="37">
        <f>33.4*2</f>
        <v>66.8</v>
      </c>
      <c r="G27" s="37">
        <f>80.48*0.8</f>
        <v>64.384</v>
      </c>
      <c r="H27" s="38">
        <f>ROUND(G27*$I$4+G27,2)</f>
        <v>78.95</v>
      </c>
      <c r="I27" s="39">
        <f>ROUND(H27*F27,2)</f>
        <v>5273.86</v>
      </c>
    </row>
    <row r="28" spans="1:11" x14ac:dyDescent="0.3">
      <c r="A28" s="33"/>
      <c r="B28" s="29">
        <v>5</v>
      </c>
      <c r="C28" s="29"/>
      <c r="D28" s="30" t="s">
        <v>58</v>
      </c>
      <c r="E28" s="31"/>
      <c r="F28" s="31"/>
      <c r="G28" s="31"/>
      <c r="H28" s="31"/>
      <c r="I28" s="32">
        <f>SUM(I29:I33)</f>
        <v>15405.8</v>
      </c>
    </row>
    <row r="29" spans="1:11" x14ac:dyDescent="0.3">
      <c r="A29" s="33"/>
      <c r="B29" s="34" t="s">
        <v>46</v>
      </c>
      <c r="C29" s="34" t="s">
        <v>59</v>
      </c>
      <c r="D29" s="44" t="s">
        <v>60</v>
      </c>
      <c r="E29" s="34" t="str">
        <f>E25</f>
        <v>m²</v>
      </c>
      <c r="F29" s="37">
        <f>20.25*32.4</f>
        <v>656.1</v>
      </c>
      <c r="G29" s="37">
        <f>11.66</f>
        <v>11.66</v>
      </c>
      <c r="H29" s="38">
        <f>ROUND(G29*$I$4+G29,2)</f>
        <v>14.3</v>
      </c>
      <c r="I29" s="39">
        <f>ROUND(H29*F29,2)</f>
        <v>9382.23</v>
      </c>
    </row>
    <row r="30" spans="1:11" ht="26.4" x14ac:dyDescent="0.3">
      <c r="A30" s="33"/>
      <c r="B30" s="34" t="s">
        <v>49</v>
      </c>
      <c r="C30" s="34" t="s">
        <v>61</v>
      </c>
      <c r="D30" s="36" t="s">
        <v>62</v>
      </c>
      <c r="E30" s="34" t="str">
        <f>E26</f>
        <v>m</v>
      </c>
      <c r="F30" s="37">
        <v>757.19</v>
      </c>
      <c r="G30" s="37">
        <f>3.52</f>
        <v>3.52</v>
      </c>
      <c r="H30" s="38">
        <f>ROUND(G30*$I$4+G30,2)</f>
        <v>4.32</v>
      </c>
      <c r="I30" s="39">
        <f>ROUND(H30*F30,2)</f>
        <v>3271.06</v>
      </c>
    </row>
    <row r="31" spans="1:11" ht="39.6" x14ac:dyDescent="0.3">
      <c r="A31" s="33"/>
      <c r="B31" s="34" t="s">
        <v>51</v>
      </c>
      <c r="C31" s="34" t="s">
        <v>63</v>
      </c>
      <c r="D31" s="36" t="s">
        <v>64</v>
      </c>
      <c r="E31" s="34" t="str">
        <f>E29</f>
        <v>m²</v>
      </c>
      <c r="F31" s="37">
        <f>(0.2+0.5)*2*2*16</f>
        <v>44.8</v>
      </c>
      <c r="G31" s="37">
        <f>9.25</f>
        <v>9.25</v>
      </c>
      <c r="H31" s="38">
        <f>ROUND(G31*$I$4+G31,2)</f>
        <v>11.34</v>
      </c>
      <c r="I31" s="39">
        <f>ROUND(H31*F31,2)</f>
        <v>508.03</v>
      </c>
    </row>
    <row r="32" spans="1:11" ht="26.4" x14ac:dyDescent="0.3">
      <c r="A32" s="33"/>
      <c r="B32" s="34" t="s">
        <v>55</v>
      </c>
      <c r="C32" s="34" t="s">
        <v>65</v>
      </c>
      <c r="D32" s="36" t="s">
        <v>66</v>
      </c>
      <c r="E32" s="34" t="str">
        <f>E31</f>
        <v>m²</v>
      </c>
      <c r="F32" s="37">
        <f>F31</f>
        <v>44.8</v>
      </c>
      <c r="G32" s="37">
        <f>31.31*0.8</f>
        <v>25.048000000000002</v>
      </c>
      <c r="H32" s="38">
        <f>ROUND(G32*$I$4+G32,2)</f>
        <v>30.72</v>
      </c>
      <c r="I32" s="39">
        <f>ROUND(H32*F32,2)</f>
        <v>1376.26</v>
      </c>
    </row>
    <row r="33" spans="1:9" ht="26.4" x14ac:dyDescent="0.3">
      <c r="A33" s="33"/>
      <c r="B33" s="34" t="s">
        <v>67</v>
      </c>
      <c r="C33" s="34" t="s">
        <v>68</v>
      </c>
      <c r="D33" s="44" t="s">
        <v>69</v>
      </c>
      <c r="E33" s="34" t="str">
        <f>E32</f>
        <v>m²</v>
      </c>
      <c r="F33" s="37">
        <f>F32</f>
        <v>44.8</v>
      </c>
      <c r="G33" s="37">
        <f>19.75*0.8</f>
        <v>15.8</v>
      </c>
      <c r="H33" s="38">
        <f>ROUND(G33*$I$4+G33,2)</f>
        <v>19.38</v>
      </c>
      <c r="I33" s="39">
        <f>ROUND(H33*F33,2)</f>
        <v>868.22</v>
      </c>
    </row>
    <row r="34" spans="1:9" x14ac:dyDescent="0.3">
      <c r="A34" s="33"/>
      <c r="B34" s="45"/>
      <c r="C34" s="45"/>
      <c r="D34" s="46"/>
      <c r="E34" s="47"/>
      <c r="F34" s="48"/>
      <c r="G34" s="49"/>
      <c r="H34" s="49"/>
      <c r="I34" s="50"/>
    </row>
    <row r="35" spans="1:9" ht="15" thickBot="1" x14ac:dyDescent="0.35">
      <c r="A35" s="51"/>
      <c r="B35" s="52" t="s">
        <v>70</v>
      </c>
      <c r="C35" s="52"/>
      <c r="D35" s="52"/>
      <c r="E35" s="52"/>
      <c r="F35" s="52"/>
      <c r="G35" s="52"/>
      <c r="H35" s="53"/>
      <c r="I35" s="54">
        <f>I23+I20+I13+I11+I28</f>
        <v>240445.68</v>
      </c>
    </row>
    <row r="36" spans="1:9" x14ac:dyDescent="0.3">
      <c r="A36" s="55"/>
      <c r="B36" s="55"/>
      <c r="C36" s="55"/>
      <c r="D36" s="55"/>
      <c r="E36" s="55"/>
      <c r="F36" s="55"/>
      <c r="G36" s="55"/>
      <c r="H36" s="55"/>
      <c r="I36" s="55"/>
    </row>
    <row r="37" spans="1:9" x14ac:dyDescent="0.3">
      <c r="A37" s="56"/>
      <c r="B37" s="56" t="s">
        <v>71</v>
      </c>
      <c r="C37" s="57">
        <v>44943</v>
      </c>
      <c r="D37" s="58"/>
      <c r="E37" s="58"/>
      <c r="F37" s="59"/>
      <c r="G37" s="60"/>
      <c r="H37" s="60"/>
      <c r="I37" s="60"/>
    </row>
    <row r="38" spans="1:9" x14ac:dyDescent="0.3">
      <c r="A38" s="56"/>
      <c r="B38" s="61"/>
      <c r="C38" s="61"/>
      <c r="D38" s="58"/>
      <c r="E38" s="58"/>
      <c r="F38" s="59"/>
      <c r="G38" s="60"/>
      <c r="H38" s="60"/>
      <c r="I38" s="60"/>
    </row>
    <row r="39" spans="1:9" x14ac:dyDescent="0.3">
      <c r="A39" s="62" t="s">
        <v>72</v>
      </c>
      <c r="B39" s="62"/>
      <c r="C39" s="62"/>
      <c r="D39" s="62"/>
      <c r="E39" s="62" t="s">
        <v>72</v>
      </c>
      <c r="F39" s="62"/>
      <c r="G39" s="62"/>
      <c r="H39" s="62"/>
      <c r="I39" s="62"/>
    </row>
    <row r="40" spans="1:9" x14ac:dyDescent="0.3">
      <c r="A40" s="62"/>
      <c r="B40" s="62"/>
      <c r="C40" s="62"/>
      <c r="D40" s="62"/>
      <c r="E40" s="62"/>
      <c r="F40" s="62"/>
      <c r="G40" s="62"/>
      <c r="H40" s="62"/>
      <c r="I40" s="62"/>
    </row>
    <row r="41" spans="1:9" x14ac:dyDescent="0.3">
      <c r="A41" s="62" t="s">
        <v>73</v>
      </c>
      <c r="B41" s="62"/>
      <c r="C41" s="62"/>
      <c r="D41" s="62"/>
      <c r="E41" s="63" t="s">
        <v>74</v>
      </c>
      <c r="F41" s="63"/>
      <c r="G41" s="63"/>
      <c r="H41" s="63"/>
      <c r="I41" s="63"/>
    </row>
    <row r="42" spans="1:9" x14ac:dyDescent="0.3">
      <c r="A42" s="62" t="s">
        <v>75</v>
      </c>
      <c r="B42" s="62"/>
      <c r="C42" s="62"/>
      <c r="D42" s="62"/>
      <c r="E42" s="63" t="s">
        <v>76</v>
      </c>
      <c r="F42" s="63"/>
      <c r="G42" s="63"/>
      <c r="H42" s="63"/>
      <c r="I42" s="63"/>
    </row>
  </sheetData>
  <mergeCells count="9">
    <mergeCell ref="A42:D42"/>
    <mergeCell ref="E42:I42"/>
    <mergeCell ref="A1:I1"/>
    <mergeCell ref="B10:I10"/>
    <mergeCell ref="B35:G35"/>
    <mergeCell ref="A39:D40"/>
    <mergeCell ref="E39:I40"/>
    <mergeCell ref="A41:D41"/>
    <mergeCell ref="E41:I41"/>
  </mergeCells>
  <conditionalFormatting sqref="G8:H8">
    <cfRule type="cellIs" dxfId="0" priority="1" stopIfTrue="1" operator="equal">
      <formula>0</formula>
    </cfRule>
  </conditionalFormatting>
  <pageMargins left="0.25" right="0.25" top="0.75" bottom="0.75" header="0.3" footer="0.3"/>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7"/>
  <sheetViews>
    <sheetView view="pageBreakPreview" zoomScaleNormal="100" zoomScaleSheetLayoutView="100" workbookViewId="0">
      <selection activeCell="C24" sqref="C24"/>
    </sheetView>
  </sheetViews>
  <sheetFormatPr defaultRowHeight="14.4" x14ac:dyDescent="0.3"/>
  <cols>
    <col min="2" max="2" width="16" customWidth="1"/>
    <col min="3" max="3" width="13.5546875" customWidth="1"/>
  </cols>
  <sheetData>
    <row r="1" spans="1:17" ht="21" x14ac:dyDescent="0.4">
      <c r="A1" s="66" t="s">
        <v>77</v>
      </c>
      <c r="B1" s="67"/>
      <c r="C1" s="67"/>
      <c r="D1" s="67"/>
      <c r="E1" s="67"/>
      <c r="F1" s="67"/>
      <c r="G1" s="67"/>
      <c r="H1" s="67"/>
      <c r="I1" s="67"/>
      <c r="J1" s="67"/>
      <c r="K1" s="67"/>
      <c r="L1" s="67"/>
      <c r="M1" s="67"/>
    </row>
    <row r="2" spans="1:17" ht="17.399999999999999" x14ac:dyDescent="0.3">
      <c r="A2" s="68" t="s">
        <v>78</v>
      </c>
      <c r="B2" s="69"/>
      <c r="C2" s="69"/>
      <c r="D2" s="70"/>
      <c r="E2" s="71"/>
      <c r="F2" s="72"/>
      <c r="G2" s="73"/>
      <c r="H2" s="73"/>
      <c r="I2" s="73"/>
      <c r="J2" s="73"/>
      <c r="K2" s="73"/>
      <c r="L2" s="73"/>
      <c r="M2" s="73"/>
    </row>
    <row r="3" spans="1:17" ht="15.6" x14ac:dyDescent="0.3">
      <c r="A3" s="74" t="s">
        <v>79</v>
      </c>
      <c r="B3" s="69"/>
      <c r="C3" s="69"/>
      <c r="D3" s="70"/>
      <c r="E3" s="71"/>
      <c r="F3" s="72"/>
      <c r="G3" s="73"/>
      <c r="H3" s="73"/>
      <c r="I3" s="73"/>
      <c r="J3" s="73"/>
      <c r="K3" s="73"/>
      <c r="L3" s="73"/>
      <c r="M3" s="73"/>
    </row>
    <row r="4" spans="1:17" ht="15" thickBot="1" x14ac:dyDescent="0.35">
      <c r="A4" s="75" t="s">
        <v>80</v>
      </c>
      <c r="B4" s="76"/>
      <c r="C4" s="76"/>
      <c r="D4" s="77"/>
      <c r="E4" s="78"/>
      <c r="F4" s="79"/>
      <c r="G4" s="69"/>
      <c r="H4" s="69"/>
      <c r="I4" s="69"/>
      <c r="J4" s="69"/>
      <c r="K4" s="69"/>
      <c r="L4" s="69"/>
      <c r="M4" s="69"/>
    </row>
    <row r="5" spans="1:17" x14ac:dyDescent="0.3">
      <c r="A5" s="80" t="str">
        <f>[1]ORÇAMENTO!A4</f>
        <v>Obra: CONSTRUÇÃO DE COBERTURA METÁLICA QUADRA VILA DO CAFARNAUM</v>
      </c>
      <c r="B5" s="81"/>
      <c r="C5" s="81"/>
      <c r="D5" s="81"/>
      <c r="E5" s="82"/>
      <c r="F5" s="83" t="s">
        <v>81</v>
      </c>
      <c r="G5" s="84" t="s">
        <v>82</v>
      </c>
      <c r="H5" s="84"/>
      <c r="I5" s="85"/>
      <c r="J5" s="86" t="s">
        <v>83</v>
      </c>
      <c r="K5" s="87"/>
      <c r="L5" s="88">
        <f>[1]ORÇAMENTO!I4</f>
        <v>45308</v>
      </c>
      <c r="M5" s="89"/>
    </row>
    <row r="6" spans="1:17" ht="15" thickBot="1" x14ac:dyDescent="0.35">
      <c r="A6" s="90"/>
      <c r="B6" s="91"/>
      <c r="C6" s="91"/>
      <c r="D6" s="91"/>
      <c r="E6" s="92"/>
      <c r="F6" s="93" t="str">
        <f>[1]ORÇAMENTO!A5</f>
        <v>Local: Vila do Cafarnaum, zona rural Faria Lemos – MG</v>
      </c>
      <c r="G6" s="94"/>
      <c r="H6" s="94"/>
      <c r="I6" s="94"/>
      <c r="J6" s="94"/>
      <c r="K6" s="94"/>
      <c r="L6" s="94"/>
      <c r="M6" s="95"/>
    </row>
    <row r="7" spans="1:17" ht="15" thickBot="1" x14ac:dyDescent="0.35">
      <c r="A7" s="96" t="s">
        <v>8</v>
      </c>
      <c r="B7" s="97" t="s">
        <v>84</v>
      </c>
      <c r="C7" s="98"/>
      <c r="D7" s="99" t="s">
        <v>85</v>
      </c>
      <c r="E7" s="97" t="s">
        <v>86</v>
      </c>
      <c r="F7" s="100" t="s">
        <v>87</v>
      </c>
      <c r="G7" s="101"/>
      <c r="H7" s="101"/>
      <c r="I7" s="101"/>
      <c r="J7" s="101"/>
      <c r="K7" s="101"/>
      <c r="L7" s="101"/>
      <c r="M7" s="101"/>
      <c r="N7" s="101"/>
      <c r="O7" s="101"/>
      <c r="P7" s="101"/>
      <c r="Q7" s="102"/>
    </row>
    <row r="8" spans="1:17" x14ac:dyDescent="0.3">
      <c r="A8" s="103"/>
      <c r="B8" s="104"/>
      <c r="C8" s="105"/>
      <c r="D8" s="106"/>
      <c r="E8" s="107"/>
      <c r="F8" s="108" t="s">
        <v>88</v>
      </c>
      <c r="G8" s="109"/>
      <c r="H8" s="110" t="s">
        <v>89</v>
      </c>
      <c r="I8" s="109"/>
      <c r="J8" s="110" t="s">
        <v>90</v>
      </c>
      <c r="K8" s="109"/>
      <c r="L8" s="110" t="s">
        <v>91</v>
      </c>
      <c r="M8" s="109"/>
      <c r="N8" s="110" t="s">
        <v>92</v>
      </c>
      <c r="O8" s="109"/>
      <c r="P8" s="110" t="s">
        <v>93</v>
      </c>
      <c r="Q8" s="111"/>
    </row>
    <row r="9" spans="1:17" ht="15" thickBot="1" x14ac:dyDescent="0.35">
      <c r="A9" s="112"/>
      <c r="B9" s="113"/>
      <c r="C9" s="114"/>
      <c r="D9" s="115"/>
      <c r="E9" s="116" t="s">
        <v>94</v>
      </c>
      <c r="F9" s="117" t="s">
        <v>95</v>
      </c>
      <c r="G9" s="118" t="s">
        <v>96</v>
      </c>
      <c r="H9" s="118" t="s">
        <v>95</v>
      </c>
      <c r="I9" s="118" t="s">
        <v>96</v>
      </c>
      <c r="J9" s="118" t="s">
        <v>95</v>
      </c>
      <c r="K9" s="118" t="s">
        <v>96</v>
      </c>
      <c r="L9" s="118" t="s">
        <v>95</v>
      </c>
      <c r="M9" s="118" t="s">
        <v>96</v>
      </c>
      <c r="N9" s="118" t="s">
        <v>95</v>
      </c>
      <c r="O9" s="118" t="s">
        <v>96</v>
      </c>
      <c r="P9" s="118" t="s">
        <v>95</v>
      </c>
      <c r="Q9" s="119" t="s">
        <v>96</v>
      </c>
    </row>
    <row r="10" spans="1:17" x14ac:dyDescent="0.3">
      <c r="A10" s="120" t="s">
        <v>97</v>
      </c>
      <c r="B10" s="121" t="str">
        <f>[1]ORÇAMENTO!D13</f>
        <v xml:space="preserve">SERVIÇOS PRELIMINARES </v>
      </c>
      <c r="C10" s="122"/>
      <c r="D10" s="123">
        <f>[1]ORÇAMENTO!I13</f>
        <v>760.94</v>
      </c>
      <c r="E10" s="124">
        <f>IF(D10=0,0,D10/D$18)</f>
        <v>3.1647064734122072E-3</v>
      </c>
      <c r="F10" s="125">
        <v>100</v>
      </c>
      <c r="G10" s="126">
        <f>F10</f>
        <v>100</v>
      </c>
      <c r="H10" s="127">
        <v>0</v>
      </c>
      <c r="I10" s="126">
        <f>G10+H10</f>
        <v>100</v>
      </c>
      <c r="J10" s="127">
        <v>0</v>
      </c>
      <c r="K10" s="126">
        <f>I10+J10</f>
        <v>100</v>
      </c>
      <c r="L10" s="128">
        <v>0</v>
      </c>
      <c r="M10" s="126">
        <f>K10+L10</f>
        <v>100</v>
      </c>
      <c r="N10" s="127">
        <v>0</v>
      </c>
      <c r="O10" s="126">
        <f>M10+N10</f>
        <v>100</v>
      </c>
      <c r="P10" s="128">
        <v>0</v>
      </c>
      <c r="Q10" s="129">
        <f>O10+P10</f>
        <v>100</v>
      </c>
    </row>
    <row r="11" spans="1:17" x14ac:dyDescent="0.3">
      <c r="A11" s="130" t="s">
        <v>98</v>
      </c>
      <c r="B11" s="131" t="str">
        <f>[1]ORÇAMENTO!D15</f>
        <v xml:space="preserve"> FUNDAÇÃO E ESTRUTURA</v>
      </c>
      <c r="C11" s="131"/>
      <c r="D11" s="132">
        <f>[1]ORÇAMENTO!I15</f>
        <v>10086.25</v>
      </c>
      <c r="E11" s="133">
        <f>IF(D11=0,0,D11/D$18)</f>
        <v>4.1948143963326773E-2</v>
      </c>
      <c r="F11" s="134">
        <v>100</v>
      </c>
      <c r="G11" s="135">
        <f>F11</f>
        <v>100</v>
      </c>
      <c r="H11" s="136">
        <v>0</v>
      </c>
      <c r="I11" s="135">
        <f>G11+H11</f>
        <v>100</v>
      </c>
      <c r="J11" s="136">
        <v>0</v>
      </c>
      <c r="K11" s="135">
        <f>I11+J11</f>
        <v>100</v>
      </c>
      <c r="L11" s="137">
        <v>0</v>
      </c>
      <c r="M11" s="135">
        <f>K11+L11</f>
        <v>100</v>
      </c>
      <c r="N11" s="136">
        <v>0</v>
      </c>
      <c r="O11" s="135">
        <f>M11+N11</f>
        <v>100</v>
      </c>
      <c r="P11" s="137">
        <v>0</v>
      </c>
      <c r="Q11" s="138">
        <f>O11+P11</f>
        <v>100</v>
      </c>
    </row>
    <row r="12" spans="1:17" x14ac:dyDescent="0.3">
      <c r="A12" s="130" t="s">
        <v>99</v>
      </c>
      <c r="B12" s="131" t="str">
        <f>[1]ORÇAMENTO!D22</f>
        <v>SUPERESTRUTURA</v>
      </c>
      <c r="C12" s="139"/>
      <c r="D12" s="132">
        <f>[1]ORÇAMENTO!I22</f>
        <v>3822.94</v>
      </c>
      <c r="E12" s="133">
        <f>IF(D12=0,0,D12/D$18)</f>
        <v>1.5899391496657374E-2</v>
      </c>
      <c r="F12" s="134">
        <v>100</v>
      </c>
      <c r="G12" s="135">
        <f>F12</f>
        <v>100</v>
      </c>
      <c r="H12" s="136">
        <v>0</v>
      </c>
      <c r="I12" s="135">
        <f>G12+H12</f>
        <v>100</v>
      </c>
      <c r="J12" s="136">
        <v>0</v>
      </c>
      <c r="K12" s="135">
        <f>I12+J12</f>
        <v>100</v>
      </c>
      <c r="L12" s="137">
        <v>0</v>
      </c>
      <c r="M12" s="135">
        <f>K12+L12</f>
        <v>100</v>
      </c>
      <c r="N12" s="136">
        <v>0</v>
      </c>
      <c r="O12" s="135">
        <f>M12+N12</f>
        <v>100</v>
      </c>
      <c r="P12" s="137">
        <v>0</v>
      </c>
      <c r="Q12" s="138">
        <f>O12+P12</f>
        <v>100</v>
      </c>
    </row>
    <row r="13" spans="1:17" x14ac:dyDescent="0.3">
      <c r="A13" s="140"/>
      <c r="B13" s="131" t="str">
        <f>[1]ORÇAMENTO!D25</f>
        <v>ESTRUTURA METÁLICA E COBERTURA</v>
      </c>
      <c r="C13" s="139"/>
      <c r="D13" s="132">
        <f>[1]ORÇAMENTO!I25</f>
        <v>210369.75</v>
      </c>
      <c r="E13" s="133">
        <f>IF(D13=0,0,D13/D$18)</f>
        <v>0.87491590616225667</v>
      </c>
      <c r="F13" s="134">
        <v>0</v>
      </c>
      <c r="G13" s="135">
        <f>F13</f>
        <v>0</v>
      </c>
      <c r="H13" s="136">
        <v>20</v>
      </c>
      <c r="I13" s="135">
        <f>G13+H13</f>
        <v>20</v>
      </c>
      <c r="J13" s="136">
        <v>20</v>
      </c>
      <c r="K13" s="135">
        <f>I13+J13</f>
        <v>40</v>
      </c>
      <c r="L13" s="137">
        <v>20</v>
      </c>
      <c r="M13" s="135">
        <f>K13+L13</f>
        <v>60</v>
      </c>
      <c r="N13" s="136">
        <v>20</v>
      </c>
      <c r="O13" s="135">
        <f>M13+N13</f>
        <v>80</v>
      </c>
      <c r="P13" s="137">
        <v>20</v>
      </c>
      <c r="Q13" s="138">
        <f>O13+P13</f>
        <v>100</v>
      </c>
    </row>
    <row r="14" spans="1:17" x14ac:dyDescent="0.3">
      <c r="A14" s="130"/>
      <c r="B14" s="131" t="str">
        <f>[1]ORÇAMENTO!D30</f>
        <v>REVESTIMENTO E PINTURA</v>
      </c>
      <c r="C14" s="131"/>
      <c r="D14" s="132">
        <f>[1]ORÇAMENTO!I30</f>
        <v>15405.8</v>
      </c>
      <c r="E14" s="133">
        <f>IF(D14=0,0,D14/D$18)</f>
        <v>6.4071851904346958E-2</v>
      </c>
      <c r="F14" s="134">
        <v>0</v>
      </c>
      <c r="G14" s="135">
        <f>F14</f>
        <v>0</v>
      </c>
      <c r="H14" s="136">
        <v>0</v>
      </c>
      <c r="I14" s="135">
        <f>G14+H14</f>
        <v>0</v>
      </c>
      <c r="J14" s="136">
        <v>0</v>
      </c>
      <c r="K14" s="135">
        <f>I14+J14</f>
        <v>0</v>
      </c>
      <c r="L14" s="137">
        <v>0</v>
      </c>
      <c r="M14" s="135">
        <f>K14+L14</f>
        <v>0</v>
      </c>
      <c r="N14" s="136">
        <v>50</v>
      </c>
      <c r="O14" s="135">
        <f>M14+N14</f>
        <v>50</v>
      </c>
      <c r="P14" s="137">
        <v>50</v>
      </c>
      <c r="Q14" s="138">
        <f>O14+P14</f>
        <v>100</v>
      </c>
    </row>
    <row r="15" spans="1:17" x14ac:dyDescent="0.3">
      <c r="A15" s="130"/>
      <c r="B15" s="141"/>
      <c r="C15" s="142"/>
      <c r="D15" s="132"/>
      <c r="E15" s="133"/>
      <c r="F15" s="134"/>
      <c r="G15" s="135"/>
      <c r="H15" s="136"/>
      <c r="I15" s="135"/>
      <c r="J15" s="136"/>
      <c r="K15" s="135"/>
      <c r="L15" s="136"/>
      <c r="M15" s="135"/>
      <c r="N15" s="136"/>
      <c r="O15" s="135"/>
      <c r="P15" s="136"/>
      <c r="Q15" s="138"/>
    </row>
    <row r="16" spans="1:17" x14ac:dyDescent="0.3">
      <c r="A16" s="140"/>
      <c r="B16" s="143"/>
      <c r="C16" s="144"/>
      <c r="D16" s="132"/>
      <c r="E16" s="145"/>
      <c r="F16" s="134"/>
      <c r="G16" s="135"/>
      <c r="H16" s="136"/>
      <c r="I16" s="135"/>
      <c r="J16" s="136"/>
      <c r="K16" s="135"/>
      <c r="L16" s="136"/>
      <c r="M16" s="135"/>
      <c r="N16" s="136"/>
      <c r="O16" s="135"/>
      <c r="P16" s="136"/>
      <c r="Q16" s="138"/>
    </row>
    <row r="17" spans="1:17" x14ac:dyDescent="0.3">
      <c r="A17" s="146"/>
      <c r="B17" s="147"/>
      <c r="C17" s="148"/>
      <c r="D17" s="132"/>
      <c r="E17" s="133"/>
      <c r="F17" s="136"/>
      <c r="G17" s="135"/>
      <c r="H17" s="136"/>
      <c r="I17" s="135"/>
      <c r="J17" s="136"/>
      <c r="K17" s="135"/>
      <c r="L17" s="136"/>
      <c r="M17" s="135"/>
      <c r="N17" s="136"/>
      <c r="O17" s="135"/>
      <c r="P17" s="136"/>
      <c r="Q17" s="138"/>
    </row>
    <row r="18" spans="1:17" x14ac:dyDescent="0.3">
      <c r="A18" s="149" t="s">
        <v>100</v>
      </c>
      <c r="B18" s="150"/>
      <c r="C18" s="150"/>
      <c r="D18" s="151">
        <f>SUM(D10:D17)</f>
        <v>240445.68</v>
      </c>
      <c r="E18" s="152">
        <f>SUM(E10:E16)</f>
        <v>1</v>
      </c>
      <c r="F18" s="153">
        <f>SUMPRODUCT(F10:F16,$E$10:$E$16)/100</f>
        <v>6.1012241933396341E-2</v>
      </c>
      <c r="G18" s="154">
        <f>F18</f>
        <v>6.1012241933396341E-2</v>
      </c>
      <c r="H18" s="155">
        <f>SUMPRODUCT(H10:H16,$E$10:$E$16)/100</f>
        <v>0.17498318123245135</v>
      </c>
      <c r="I18" s="154">
        <f>G18+H18</f>
        <v>0.23599542316584771</v>
      </c>
      <c r="J18" s="155">
        <f>SUMPRODUCT(J10:J16,$E$10:$E$16)/100</f>
        <v>0.17498318123245135</v>
      </c>
      <c r="K18" s="154">
        <f>I18+J18</f>
        <v>0.41097860439829903</v>
      </c>
      <c r="L18" s="155">
        <f>SUMPRODUCT(L10:L16,$E$10:$E$16)/100</f>
        <v>0.17498318123245135</v>
      </c>
      <c r="M18" s="154">
        <f>K18+L18</f>
        <v>0.58596178563075041</v>
      </c>
      <c r="N18" s="155">
        <f>SUMPRODUCT(N10:N16,$E$10:$E$16)/100</f>
        <v>0.20701910718462482</v>
      </c>
      <c r="O18" s="154">
        <f>M18+N18</f>
        <v>0.7929808928153752</v>
      </c>
      <c r="P18" s="155">
        <f>SUMPRODUCT(P10:P16,$E$10:$E$16)/100</f>
        <v>0.20701910718462482</v>
      </c>
      <c r="Q18" s="156">
        <f>O18+P18</f>
        <v>1</v>
      </c>
    </row>
    <row r="19" spans="1:17" x14ac:dyDescent="0.3">
      <c r="A19" s="157" t="s">
        <v>101</v>
      </c>
      <c r="B19" s="158"/>
      <c r="C19" s="158"/>
      <c r="D19" s="159">
        <f>D18</f>
        <v>240445.68</v>
      </c>
      <c r="E19" s="160"/>
      <c r="F19" s="161">
        <f>F18*D19</f>
        <v>14670.129999999997</v>
      </c>
      <c r="G19" s="162">
        <f>F19</f>
        <v>14670.129999999997</v>
      </c>
      <c r="H19" s="163">
        <f>H18*D19</f>
        <v>42073.950000000004</v>
      </c>
      <c r="I19" s="162">
        <f>G19+H19</f>
        <v>56744.08</v>
      </c>
      <c r="J19" s="163">
        <f>J18*D19</f>
        <v>42073.950000000004</v>
      </c>
      <c r="K19" s="162">
        <f>I19+J19</f>
        <v>98818.03</v>
      </c>
      <c r="L19" s="163">
        <f>L18*D19</f>
        <v>42073.950000000004</v>
      </c>
      <c r="M19" s="162">
        <f>K19+L19</f>
        <v>140891.98000000001</v>
      </c>
      <c r="N19" s="163">
        <f>N18*D19</f>
        <v>49776.85</v>
      </c>
      <c r="O19" s="162">
        <f>M19+N19</f>
        <v>190668.83000000002</v>
      </c>
      <c r="P19" s="163">
        <f>P18*D19</f>
        <v>49776.85</v>
      </c>
      <c r="Q19" s="164">
        <f>O19+P19</f>
        <v>240445.68000000002</v>
      </c>
    </row>
    <row r="20" spans="1:17" ht="15" thickBot="1" x14ac:dyDescent="0.35">
      <c r="A20" s="165" t="s">
        <v>102</v>
      </c>
      <c r="B20" s="166"/>
      <c r="C20" s="167"/>
      <c r="D20" s="168">
        <f>D19</f>
        <v>240445.68</v>
      </c>
      <c r="E20" s="169"/>
      <c r="F20" s="170">
        <f>(F19*C20)+F19</f>
        <v>14670.129999999997</v>
      </c>
      <c r="G20" s="171">
        <f>F20</f>
        <v>14670.129999999997</v>
      </c>
      <c r="H20" s="172">
        <f>(H19*C20)+H19</f>
        <v>42073.950000000004</v>
      </c>
      <c r="I20" s="171">
        <f>G20+H20</f>
        <v>56744.08</v>
      </c>
      <c r="J20" s="172">
        <f>(J19*C20)+J19</f>
        <v>42073.950000000004</v>
      </c>
      <c r="K20" s="171">
        <f>I20+J20</f>
        <v>98818.03</v>
      </c>
      <c r="L20" s="172">
        <f>(L19*E20)+L19</f>
        <v>42073.950000000004</v>
      </c>
      <c r="M20" s="171">
        <f>K20+L20</f>
        <v>140891.98000000001</v>
      </c>
      <c r="N20" s="172">
        <f>N19</f>
        <v>49776.85</v>
      </c>
      <c r="O20" s="171">
        <f>M20+N20</f>
        <v>190668.83000000002</v>
      </c>
      <c r="P20" s="172">
        <f>P19</f>
        <v>49776.85</v>
      </c>
      <c r="Q20" s="173">
        <f>O20+P20</f>
        <v>240445.68000000002</v>
      </c>
    </row>
    <row r="21" spans="1:17" ht="15" thickBot="1" x14ac:dyDescent="0.35">
      <c r="A21" s="174"/>
      <c r="B21" s="175"/>
      <c r="C21" s="175"/>
      <c r="D21" s="175"/>
      <c r="E21" s="175"/>
      <c r="F21" s="175"/>
      <c r="G21" s="175"/>
      <c r="H21" s="175"/>
      <c r="I21" s="175"/>
      <c r="J21" s="175"/>
      <c r="K21" s="175"/>
      <c r="L21" s="175"/>
      <c r="M21" s="175"/>
      <c r="N21" s="175"/>
      <c r="O21" s="175"/>
      <c r="P21" s="175"/>
      <c r="Q21" s="176"/>
    </row>
    <row r="22" spans="1:17" x14ac:dyDescent="0.3">
      <c r="A22" s="177"/>
      <c r="C22" s="178"/>
      <c r="D22" s="177"/>
      <c r="E22" s="179"/>
      <c r="F22" s="180"/>
      <c r="G22" s="177"/>
      <c r="H22" s="177"/>
      <c r="I22" s="177"/>
      <c r="J22" s="177"/>
      <c r="K22" s="181"/>
      <c r="L22" s="177"/>
      <c r="M22" s="177" t="s">
        <v>103</v>
      </c>
    </row>
    <row r="23" spans="1:17" x14ac:dyDescent="0.3">
      <c r="A23" s="177"/>
      <c r="B23" s="178">
        <f>L5</f>
        <v>45308</v>
      </c>
      <c r="C23" s="182"/>
      <c r="D23" s="177"/>
      <c r="E23" s="179"/>
      <c r="F23" s="180"/>
      <c r="G23" s="177"/>
      <c r="H23" s="177"/>
      <c r="I23" s="177"/>
      <c r="J23" s="177"/>
      <c r="K23" s="183"/>
      <c r="L23" s="177"/>
      <c r="M23" s="177"/>
    </row>
    <row r="24" spans="1:17" x14ac:dyDescent="0.3">
      <c r="A24" s="177"/>
      <c r="B24" s="182" t="s">
        <v>104</v>
      </c>
      <c r="C24" s="182"/>
      <c r="D24" s="177"/>
      <c r="E24" s="179"/>
      <c r="F24" s="180"/>
      <c r="G24" s="184"/>
      <c r="H24" s="177"/>
      <c r="I24" s="177"/>
      <c r="J24" s="177"/>
      <c r="K24" s="185"/>
      <c r="L24" s="177"/>
      <c r="M24" s="177"/>
    </row>
    <row r="25" spans="1:17" x14ac:dyDescent="0.3">
      <c r="A25" s="177"/>
      <c r="B25" s="177"/>
      <c r="C25" s="177"/>
      <c r="D25" s="186"/>
      <c r="E25" s="187"/>
      <c r="F25" s="188"/>
      <c r="G25" s="189"/>
      <c r="H25" s="189"/>
      <c r="I25" s="189"/>
      <c r="J25" s="188"/>
      <c r="K25" s="190"/>
      <c r="L25" s="186"/>
      <c r="M25" s="177"/>
    </row>
    <row r="26" spans="1:17" x14ac:dyDescent="0.3">
      <c r="A26" s="177"/>
      <c r="B26" s="177"/>
      <c r="C26" s="177"/>
      <c r="D26" s="182"/>
      <c r="E26" s="191" t="str">
        <f>[1]ORÇAMENTO!A46</f>
        <v>Marcus Paulo de Souza Lima</v>
      </c>
      <c r="F26" s="192"/>
      <c r="G26" s="193"/>
      <c r="H26" s="194"/>
      <c r="I26" s="194"/>
      <c r="J26" s="192"/>
      <c r="K26" s="195" t="str">
        <f>[1]ORÇAMENTO!E46</f>
        <v>Gilberto Damas de Souza</v>
      </c>
      <c r="L26" s="177"/>
      <c r="M26" s="177"/>
    </row>
    <row r="27" spans="1:17" x14ac:dyDescent="0.3">
      <c r="A27" s="177"/>
      <c r="B27" s="177"/>
      <c r="C27" s="177"/>
      <c r="D27" s="196" t="str">
        <f>[1]ORÇAMENTO!A47</f>
        <v>Engª Civil - CREA 71.191/D</v>
      </c>
      <c r="E27" s="196"/>
      <c r="F27" s="196"/>
      <c r="G27" s="193"/>
      <c r="H27" s="194"/>
      <c r="I27" s="194"/>
      <c r="J27" s="192"/>
      <c r="K27" s="197" t="str">
        <f>[1]ORÇAMENTO!E47</f>
        <v>Prefeito Municipal de Faria Lemos</v>
      </c>
      <c r="L27" s="177"/>
      <c r="M27" s="177"/>
    </row>
  </sheetData>
  <mergeCells count="16">
    <mergeCell ref="B10:C10"/>
    <mergeCell ref="B15:C15"/>
    <mergeCell ref="B16:C16"/>
    <mergeCell ref="A20:B20"/>
    <mergeCell ref="A21:Q21"/>
    <mergeCell ref="D27:F27"/>
    <mergeCell ref="A1:M1"/>
    <mergeCell ref="A5:E6"/>
    <mergeCell ref="G5:H5"/>
    <mergeCell ref="J5:K5"/>
    <mergeCell ref="L5:M5"/>
    <mergeCell ref="A7:A9"/>
    <mergeCell ref="B7:C9"/>
    <mergeCell ref="D7:D9"/>
    <mergeCell ref="E7:E8"/>
    <mergeCell ref="F7:Q7"/>
  </mergeCells>
  <pageMargins left="0.25" right="0.25" top="0.75" bottom="0.75" header="0.3" footer="0.3"/>
  <pageSetup paperSize="9" scale="8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Planilha Orçamentária</vt:lpstr>
      <vt:lpstr>Cronograma</vt:lpstr>
      <vt:lpstr>'Planilha Orçamentária'!Area_de_impressao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Paulo</dc:creator>
  <cp:lastModifiedBy>Marcus Paulo</cp:lastModifiedBy>
  <cp:lastPrinted>2024-02-01T21:50:00Z</cp:lastPrinted>
  <dcterms:created xsi:type="dcterms:W3CDTF">2024-02-01T21:45:40Z</dcterms:created>
  <dcterms:modified xsi:type="dcterms:W3CDTF">2024-02-01T21:51:04Z</dcterms:modified>
</cp:coreProperties>
</file>